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075" windowHeight="891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<sst xmlns="http://schemas.openxmlformats.org/spreadsheetml/2006/main" count="72" uniqueCount="64">
  <si>
    <t>ClassObs</t>
  </si>
  <si>
    <t>P</t>
  </si>
  <si>
    <t>Q</t>
  </si>
  <si>
    <t xml:space="preserve">Hs     </t>
  </si>
  <si>
    <t xml:space="preserve">    Tm0 =&gt;</t>
  </si>
  <si>
    <t>ln(H)</t>
  </si>
  <si>
    <t>W</t>
  </si>
  <si>
    <t>storm duration   alfa&gt;</t>
  </si>
  <si>
    <t>LN(Q3)</t>
  </si>
  <si>
    <t>cumul</t>
  </si>
  <si>
    <t>-ln(H)</t>
  </si>
  <si>
    <t>year</t>
  </si>
  <si>
    <t>alfa</t>
  </si>
  <si>
    <t>Qs</t>
  </si>
  <si>
    <t>beta</t>
  </si>
  <si>
    <t>gamma</t>
  </si>
  <si>
    <t>Hs for condition 1/</t>
  </si>
  <si>
    <t>ln(Qs)</t>
  </si>
  <si>
    <t>G</t>
  </si>
  <si>
    <t>T</t>
  </si>
  <si>
    <t>Hs</t>
  </si>
  <si>
    <t>Pf</t>
  </si>
  <si>
    <t>Ns</t>
  </si>
  <si>
    <t>Hs3T</t>
  </si>
  <si>
    <t>.05/VpN</t>
  </si>
  <si>
    <t>exponent</t>
  </si>
  <si>
    <t>k beta</t>
  </si>
  <si>
    <t>sigma</t>
  </si>
  <si>
    <t>s^()</t>
  </si>
  <si>
    <t>HsTPf</t>
  </si>
  <si>
    <t>tL</t>
  </si>
  <si>
    <t>3tL</t>
  </si>
  <si>
    <t>tPf</t>
  </si>
  <si>
    <t>Allowable failure during lifetime</t>
  </si>
  <si>
    <t>HtPf/Hs</t>
  </si>
  <si>
    <t>Pf-life</t>
  </si>
  <si>
    <t>Cube calculation</t>
  </si>
  <si>
    <t xml:space="preserve"> N0d</t>
  </si>
  <si>
    <t>Nz</t>
  </si>
  <si>
    <t>sm</t>
  </si>
  <si>
    <t>Delta</t>
  </si>
  <si>
    <t>number of displaced units</t>
  </si>
  <si>
    <t xml:space="preserve">number of waves in a storm </t>
  </si>
  <si>
    <t>steepness of mean period</t>
  </si>
  <si>
    <t>gammaH</t>
  </si>
  <si>
    <t>k alfa</t>
  </si>
  <si>
    <t>gammaZ</t>
  </si>
  <si>
    <t>Dn</t>
  </si>
  <si>
    <t>m</t>
  </si>
  <si>
    <t>Tpeak</t>
  </si>
  <si>
    <t>duration</t>
  </si>
  <si>
    <t>hrs</t>
  </si>
  <si>
    <t>sec</t>
  </si>
  <si>
    <t>L</t>
  </si>
  <si>
    <t>ton</t>
  </si>
  <si>
    <t>relative density of concrete</t>
  </si>
  <si>
    <t>concrete</t>
  </si>
  <si>
    <t>Design life of construction</t>
  </si>
  <si>
    <t>Storms in base set</t>
  </si>
  <si>
    <t>Number of storms/year in basic dataset</t>
  </si>
  <si>
    <t>N</t>
  </si>
  <si>
    <t>1-Pf-life</t>
  </si>
  <si>
    <t>Qtl</t>
  </si>
  <si>
    <t>quality of datacollection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</si>
</sst>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0.000000"/>
    <numFmt numFmtId="179" formatCode="#.##0"/>
    <numFmt numFmtId="180" formatCode="#.##0.0000"/>
    <numFmt numFmtId="181" formatCode="0.0000"/>
    <numFmt numFmtId="182" formatCode="0.00000"/>
    <numFmt numFmtId="183" formatCode="0.000"/>
    <numFmt numFmtId="184" formatCode="0.0%"/>
  </numFmts>
  <fonts count="24">
    <font>
      <sz val="10"/>
      <name val="Arial"/>
      <family val="0"/>
    </font>
    <font>
      <sz val="9.5"/>
      <name val="Arial"/>
      <family val="0"/>
    </font>
    <font>
      <sz val="10.75"/>
      <name val="Arial"/>
      <family val="0"/>
    </font>
    <font>
      <sz val="8"/>
      <name val="Arial"/>
      <family val="2"/>
    </font>
    <font>
      <b/>
      <sz val="11.75"/>
      <name val="Arial"/>
      <family val="0"/>
    </font>
    <font>
      <b/>
      <sz val="10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75"/>
      <name val="Arial"/>
      <family val="0"/>
    </font>
    <font>
      <vertAlign val="superscript"/>
      <sz val="10.5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vertAlign val="superscript"/>
      <sz val="11.5"/>
      <name val="Arial"/>
      <family val="0"/>
    </font>
    <font>
      <b/>
      <sz val="11.25"/>
      <name val="Arial"/>
      <family val="0"/>
    </font>
    <font>
      <vertAlign val="superscript"/>
      <sz val="11.25"/>
      <name val="Arial"/>
      <family val="0"/>
    </font>
    <font>
      <sz val="12"/>
      <name val="Arial"/>
      <family val="0"/>
    </font>
    <font>
      <vertAlign val="superscript"/>
      <sz val="9.75"/>
      <name val="Arial"/>
      <family val="2"/>
    </font>
    <font>
      <sz val="16.75"/>
      <name val="Arial"/>
      <family val="0"/>
    </font>
    <font>
      <b/>
      <sz val="16.5"/>
      <name val="Arial"/>
      <family val="0"/>
    </font>
    <font>
      <vertAlign val="superscript"/>
      <sz val="12"/>
      <name val="Arial"/>
      <family val="2"/>
    </font>
    <font>
      <sz val="16"/>
      <name val="Arial"/>
      <family val="0"/>
    </font>
    <font>
      <vertAlign val="superscript"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1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Arial"/>
                <a:ea typeface="Arial"/>
                <a:cs typeface="Arial"/>
              </a:rPr>
              <a:t>Weibull distribution</a:t>
            </a:r>
          </a:p>
        </c:rich>
      </c:tx>
      <c:layout>
        <c:manualLayout>
          <c:xMode val="factor"/>
          <c:yMode val="factor"/>
          <c:x val="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5375"/>
          <c:w val="0.86125"/>
          <c:h val="0.675"/>
        </c:manualLayout>
      </c:layout>
      <c:scatterChart>
        <c:scatterStyle val="lineMarker"/>
        <c:varyColors val="0"/>
        <c:ser>
          <c:idx val="0"/>
          <c:order val="0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Sheet1!$W$57:$W$60</c:f>
              <c:numCache>
                <c:ptCount val="4"/>
                <c:pt idx="0">
                  <c:v>4.676594243783638</c:v>
                </c:pt>
                <c:pt idx="1">
                  <c:v>5.9215917441729955</c:v>
                </c:pt>
                <c:pt idx="2">
                  <c:v>7.106218288455053</c:v>
                </c:pt>
                <c:pt idx="3">
                  <c:v>8.244997916747787</c:v>
                </c:pt>
              </c:numCache>
            </c:numRef>
          </c:xVal>
          <c:yVal>
            <c:numRef>
              <c:f>Sheet1!$Z$57:$Z$60</c:f>
              <c:numCache>
                <c:ptCount val="4"/>
                <c:pt idx="0">
                  <c:v>6.7713625446084205</c:v>
                </c:pt>
                <c:pt idx="1">
                  <c:v>9.07446337233157</c:v>
                </c:pt>
                <c:pt idx="2">
                  <c:v>11.377100014421636</c:v>
                </c:pt>
                <c:pt idx="3">
                  <c:v>13.679690262084193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1.1573x + 1.2497
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0.9905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Sheet1!$N$54:$N$70</c:f>
              <c:numCache>
                <c:ptCount val="17"/>
                <c:pt idx="0">
                  <c:v>0.3252230408276238</c:v>
                </c:pt>
                <c:pt idx="1">
                  <c:v>0.6413608740122573</c:v>
                </c:pt>
                <c:pt idx="2">
                  <c:v>0.9126110150124174</c:v>
                </c:pt>
                <c:pt idx="3">
                  <c:v>1.1120217986526386</c:v>
                </c:pt>
                <c:pt idx="4">
                  <c:v>1.348577377109147</c:v>
                </c:pt>
                <c:pt idx="5">
                  <c:v>1.5809424438004722</c:v>
                </c:pt>
                <c:pt idx="6">
                  <c:v>1.8055171998652044</c:v>
                </c:pt>
                <c:pt idx="7">
                  <c:v>2.040649136943001</c:v>
                </c:pt>
                <c:pt idx="8">
                  <c:v>2.1909856800982115</c:v>
                </c:pt>
                <c:pt idx="9">
                  <c:v>2.388315340827105</c:v>
                </c:pt>
                <c:pt idx="10">
                  <c:v>2.5748565271032025</c:v>
                </c:pt>
                <c:pt idx="11">
                  <c:v>2.685898811129643</c:v>
                </c:pt>
                <c:pt idx="12">
                  <c:v>2.951838477147555</c:v>
                </c:pt>
                <c:pt idx="13">
                  <c:v>3.1188280230756806</c:v>
                </c:pt>
                <c:pt idx="14">
                  <c:v>3.287312190926456</c:v>
                </c:pt>
                <c:pt idx="15">
                  <c:v>3.6026267995170524</c:v>
                </c:pt>
                <c:pt idx="16">
                  <c:v>4.159219841933701</c:v>
                </c:pt>
              </c:numCache>
            </c:numRef>
          </c:xVal>
          <c:yVal>
            <c:numRef>
              <c:f>Sheet1!$B$54:$B$70</c:f>
              <c:numCache>
                <c:ptCount val="17"/>
                <c:pt idx="0">
                  <c:v>1.75</c:v>
                </c:pt>
                <c:pt idx="1">
                  <c:v>2</c:v>
                </c:pt>
                <c:pt idx="2">
                  <c:v>2.25</c:v>
                </c:pt>
                <c:pt idx="3">
                  <c:v>2.5</c:v>
                </c:pt>
                <c:pt idx="4">
                  <c:v>2.75</c:v>
                </c:pt>
                <c:pt idx="5">
                  <c:v>3</c:v>
                </c:pt>
                <c:pt idx="6">
                  <c:v>3.25</c:v>
                </c:pt>
                <c:pt idx="7">
                  <c:v>3.5</c:v>
                </c:pt>
                <c:pt idx="8">
                  <c:v>3.75</c:v>
                </c:pt>
                <c:pt idx="9">
                  <c:v>4</c:v>
                </c:pt>
                <c:pt idx="10">
                  <c:v>4.25</c:v>
                </c:pt>
                <c:pt idx="11">
                  <c:v>4.5</c:v>
                </c:pt>
                <c:pt idx="12">
                  <c:v>4.75</c:v>
                </c:pt>
                <c:pt idx="13">
                  <c:v>5</c:v>
                </c:pt>
                <c:pt idx="14">
                  <c:v>5.25</c:v>
                </c:pt>
                <c:pt idx="15">
                  <c:v>5.5</c:v>
                </c:pt>
                <c:pt idx="16">
                  <c:v>5.75</c:v>
                </c:pt>
              </c:numCache>
            </c:numRef>
          </c:yVal>
          <c:smooth val="0"/>
        </c:ser>
        <c:axId val="21930877"/>
        <c:axId val="63160166"/>
      </c:scatterChart>
      <c:valAx>
        <c:axId val="2193087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Weibull Reduced variable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0166"/>
        <c:crosses val="autoZero"/>
        <c:crossBetween val="midCat"/>
        <c:dispUnits/>
      </c:valAx>
      <c:valAx>
        <c:axId val="6316016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Strom height Hss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30877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indivudual observations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875"/>
          <c:w val="0.935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og"/>
            <c:backward val="0.00014"/>
            <c:dispEq val="0"/>
            <c:dispRSqr val="0"/>
          </c:trendline>
          <c:xVal>
            <c:numRef>
              <c:f>Sheet1!$Q$4:$Q$25</c:f>
              <c:numCache/>
            </c:numRef>
          </c:xVal>
          <c:yVal>
            <c:numRef>
              <c:f>Sheet1!$A$4:$A$25</c:f>
              <c:numCache/>
            </c:numRef>
          </c:yVal>
          <c:smooth val="0"/>
        </c:ser>
        <c:axId val="31570583"/>
        <c:axId val="15699792"/>
      </c:scatterChart>
      <c:valAx>
        <c:axId val="31570583"/>
        <c:scaling>
          <c:logBase val="10"/>
          <c:orientation val="maxMin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exceedance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max"/>
        <c:crossBetween val="midCat"/>
        <c:dispUnits/>
      </c:valAx>
      <c:valAx>
        <c:axId val="1569979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wave height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storm exceedance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4025"/>
          <c:w val="0.87725"/>
          <c:h val="0.77325"/>
        </c:manualLayout>
      </c:layout>
      <c:scatterChart>
        <c:scatterStyle val="lineMarker"/>
        <c:varyColors val="0"/>
        <c:ser>
          <c:idx val="15"/>
          <c:order val="0"/>
          <c:tx>
            <c:strRef>
              <c:f>Sheet1!$Q$1:$Q$2</c:f>
              <c:strCache>
                <c:ptCount val="1"/>
                <c:pt idx="0">
                  <c:v>10 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log"/>
            <c:backward val="0.1"/>
            <c:dispEq val="0"/>
            <c:dispRSqr val="0"/>
          </c:trendline>
          <c:xVal>
            <c:numRef>
              <c:f>Sheet1!$S$3:$S$25</c:f>
              <c:numCache/>
            </c:numRef>
          </c:xVal>
          <c:yVal>
            <c:numRef>
              <c:f>Sheet1!$A$3:$A$25</c:f>
              <c:numCache/>
            </c:numRef>
          </c:yVal>
          <c:smooth val="0"/>
        </c:ser>
        <c:axId val="7080401"/>
        <c:axId val="63723610"/>
      </c:scatterChart>
      <c:valAx>
        <c:axId val="7080401"/>
        <c:scaling>
          <c:logBase val="10"/>
          <c:orientation val="maxMin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probability per 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max"/>
        <c:crossBetween val="midCat"/>
        <c:dispUnits/>
      </c:valAx>
      <c:valAx>
        <c:axId val="637236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all data Noordwijk</a:t>
            </a:r>
          </a:p>
        </c:rich>
      </c:tx>
      <c:layout>
        <c:manualLayout>
          <c:xMode val="factor"/>
          <c:yMode val="factor"/>
          <c:x val="0.01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3"/>
          <c:w val="0.90925"/>
          <c:h val="0.875"/>
        </c:manualLayout>
      </c:layout>
      <c:scatterChart>
        <c:scatterStyle val="lineMarker"/>
        <c:varyColors val="0"/>
        <c:ser>
          <c:idx val="16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Sheet1!$A$3:$A$25</c:f>
              <c:numCache/>
            </c:numRef>
          </c:xVal>
          <c:yVal>
            <c:numRef>
              <c:f>Sheet1!$R$3:$R$25</c:f>
              <c:numCache/>
            </c:numRef>
          </c:yVal>
          <c:smooth val="0"/>
        </c:ser>
        <c:axId val="36641579"/>
        <c:axId val="61338756"/>
      </c:scatterChart>
      <c:val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Hs</a:t>
                </a:r>
              </a:p>
            </c:rich>
          </c:tx>
          <c:layout>
            <c:manualLayout>
              <c:xMode val="factor"/>
              <c:yMode val="factor"/>
              <c:x val="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8756"/>
        <c:crossesAt val="-2"/>
        <c:crossBetween val="midCat"/>
        <c:dispUnits/>
      </c:valAx>
      <c:valAx>
        <c:axId val="613387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-lnQ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641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threshold 1.5 m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66"/>
          <c:w val="0.92975"/>
          <c:h val="0.859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og"/>
            <c:backward val="0.00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Sheet1!$F$54:$F$70</c:f>
              <c:numCache/>
            </c:numRef>
          </c:xVal>
          <c:yVal>
            <c:numRef>
              <c:f>Sheet1!$B$54:$B$70</c:f>
              <c:numCache/>
            </c:numRef>
          </c:yVal>
          <c:smooth val="0"/>
        </c:ser>
        <c:axId val="15177893"/>
        <c:axId val="2383310"/>
      </c:scatterChart>
      <c:valAx>
        <c:axId val="15177893"/>
        <c:scaling>
          <c:logBase val="10"/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probability of exceedence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10"/>
        <c:crossesAt val="0"/>
        <c:crossBetween val="midCat"/>
        <c:dispUnits/>
      </c:valAx>
      <c:valAx>
        <c:axId val="2383310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storm height Hss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177893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threshold 1.5 m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605"/>
          <c:w val="0.9725"/>
          <c:h val="0.9112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og"/>
            <c:backward val="0.2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Sheet1!$I$54:$I$70</c:f>
              <c:numCache/>
            </c:numRef>
          </c:xVal>
          <c:yVal>
            <c:numRef>
              <c:f>Sheet1!$B$54:$B$70</c:f>
              <c:numCache/>
            </c:numRef>
          </c:yVal>
          <c:smooth val="0"/>
        </c:ser>
        <c:axId val="21449791"/>
        <c:axId val="58830392"/>
      </c:scatterChart>
      <c:valAx>
        <c:axId val="21449791"/>
        <c:scaling>
          <c:logBase val="10"/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storm exceedence probability per year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0392"/>
        <c:crossesAt val="0"/>
        <c:crossBetween val="midCat"/>
        <c:dispUnits/>
      </c:valAx>
      <c:valAx>
        <c:axId val="58830392"/>
        <c:scaling>
          <c:orientation val="minMax"/>
          <c:max val="1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storm height Hss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449791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Weibull distribution</a:t>
            </a:r>
          </a:p>
        </c:rich>
      </c:tx>
      <c:layout>
        <c:manualLayout>
          <c:xMode val="factor"/>
          <c:yMode val="factor"/>
          <c:x val="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16975"/>
          <c:w val="0.853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Sheet1!$W$57:$W$60</c:f>
              <c:numCache/>
            </c:numRef>
          </c:xVal>
          <c:yVal>
            <c:numRef>
              <c:f>Sheet1!$V$57:$V$60</c:f>
              <c:numCache/>
            </c:numRef>
          </c:yVal>
          <c:smooth val="0"/>
        </c:ser>
        <c:ser>
          <c:idx val="1"/>
          <c:order val="1"/>
          <c:tx>
            <c:v>Weibull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y = 1.1573x + 1.2497
R</a:t>
                    </a:r>
                    <a:r>
                      <a:rPr lang="en-US" cap="none" sz="9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 = 0.9905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Sheet1!$N$54:$N$70</c:f>
              <c:numCache/>
            </c:numRef>
          </c:xVal>
          <c:yVal>
            <c:numRef>
              <c:f>Sheet1!$B$54:$B$70</c:f>
              <c:numCache/>
            </c:numRef>
          </c:yVal>
          <c:smooth val="0"/>
        </c:ser>
        <c:axId val="59711481"/>
        <c:axId val="532418"/>
      </c:scatterChart>
      <c:valAx>
        <c:axId val="5971148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Weibull Reduced variable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crossBetween val="midCat"/>
        <c:dispUnits/>
      </c:valAx>
      <c:valAx>
        <c:axId val="53241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 height Hss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711481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Gumbel distribution</a:t>
            </a:r>
          </a:p>
        </c:rich>
      </c:tx>
      <c:layout>
        <c:manualLayout>
          <c:xMode val="factor"/>
          <c:yMode val="factor"/>
          <c:x val="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4725"/>
          <c:w val="0.9285"/>
          <c:h val="0.6725"/>
        </c:manualLayout>
      </c:layout>
      <c:scatterChart>
        <c:scatterStyle val="lineMarker"/>
        <c:varyColors val="0"/>
        <c:ser>
          <c:idx val="0"/>
          <c:order val="0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Sheet1!$Z$57:$Z$60</c:f>
              <c:numCache/>
            </c:numRef>
          </c:xVal>
          <c:yVal>
            <c:numRef>
              <c:f>Sheet1!$V$57:$V$60</c:f>
              <c:numCache/>
            </c:numRef>
          </c:yVal>
          <c:smooth val="0"/>
        </c:ser>
        <c:ser>
          <c:idx val="1"/>
          <c:order val="1"/>
          <c:tx>
            <c:v>Gumbel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for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Sheet1!$J$54:$J$70</c:f>
              <c:numCache/>
            </c:numRef>
          </c:xVal>
          <c:yVal>
            <c:numRef>
              <c:f>Sheet1!$B$54:$B$70</c:f>
              <c:numCache/>
            </c:numRef>
          </c:yVal>
          <c:smooth val="0"/>
        </c:ser>
        <c:axId val="4791763"/>
        <c:axId val="43125868"/>
      </c:scatterChart>
      <c:valAx>
        <c:axId val="479176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Gumbel Reduced variable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crossBetween val="midCat"/>
        <c:dispUnits/>
      </c:valAx>
      <c:valAx>
        <c:axId val="4312586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Storm height Hss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91763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506575" cy="8524875"/>
    <xdr:graphicFrame>
      <xdr:nvGraphicFramePr>
        <xdr:cNvPr id="1" name="Shape 1025"/>
        <xdr:cNvGraphicFramePr/>
      </xdr:nvGraphicFramePr>
      <xdr:xfrm>
        <a:off x="0" y="0"/>
        <a:ext cx="1450657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333375</xdr:colOff>
      <xdr:row>1</xdr:row>
      <xdr:rowOff>85725</xdr:rowOff>
    </xdr:from>
    <xdr:to>
      <xdr:col>28</xdr:col>
      <xdr:colOff>104775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11706225" y="247650"/>
        <a:ext cx="3429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333375</xdr:colOff>
      <xdr:row>14</xdr:row>
      <xdr:rowOff>133350</xdr:rowOff>
    </xdr:from>
    <xdr:to>
      <xdr:col>28</xdr:col>
      <xdr:colOff>104775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11706225" y="2400300"/>
        <a:ext cx="34290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247650</xdr:colOff>
      <xdr:row>2</xdr:row>
      <xdr:rowOff>38100</xdr:rowOff>
    </xdr:from>
    <xdr:to>
      <xdr:col>33</xdr:col>
      <xdr:colOff>561975</xdr:colOff>
      <xdr:row>13</xdr:row>
      <xdr:rowOff>114300</xdr:rowOff>
    </xdr:to>
    <xdr:graphicFrame>
      <xdr:nvGraphicFramePr>
        <xdr:cNvPr id="3" name="Chart 5"/>
        <xdr:cNvGraphicFramePr/>
      </xdr:nvGraphicFramePr>
      <xdr:xfrm>
        <a:off x="15278100" y="361950"/>
        <a:ext cx="33623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133350</xdr:colOff>
      <xdr:row>50</xdr:row>
      <xdr:rowOff>28575</xdr:rowOff>
    </xdr:from>
    <xdr:to>
      <xdr:col>21</xdr:col>
      <xdr:colOff>276225</xdr:colOff>
      <xdr:row>66</xdr:row>
      <xdr:rowOff>38100</xdr:rowOff>
    </xdr:to>
    <xdr:graphicFrame>
      <xdr:nvGraphicFramePr>
        <xdr:cNvPr id="4" name="Chart 6"/>
        <xdr:cNvGraphicFramePr/>
      </xdr:nvGraphicFramePr>
      <xdr:xfrm>
        <a:off x="7029450" y="8124825"/>
        <a:ext cx="40100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276225</xdr:colOff>
      <xdr:row>69</xdr:row>
      <xdr:rowOff>123825</xdr:rowOff>
    </xdr:from>
    <xdr:to>
      <xdr:col>21</xdr:col>
      <xdr:colOff>428625</xdr:colOff>
      <xdr:row>85</xdr:row>
      <xdr:rowOff>142875</xdr:rowOff>
    </xdr:to>
    <xdr:graphicFrame>
      <xdr:nvGraphicFramePr>
        <xdr:cNvPr id="5" name="Chart 7"/>
        <xdr:cNvGraphicFramePr/>
      </xdr:nvGraphicFramePr>
      <xdr:xfrm>
        <a:off x="7172325" y="11296650"/>
        <a:ext cx="40195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57150</xdr:colOff>
      <xdr:row>65</xdr:row>
      <xdr:rowOff>76200</xdr:rowOff>
    </xdr:from>
    <xdr:to>
      <xdr:col>29</xdr:col>
      <xdr:colOff>523875</xdr:colOff>
      <xdr:row>84</xdr:row>
      <xdr:rowOff>104775</xdr:rowOff>
    </xdr:to>
    <xdr:graphicFrame>
      <xdr:nvGraphicFramePr>
        <xdr:cNvPr id="6" name="Chart 8"/>
        <xdr:cNvGraphicFramePr/>
      </xdr:nvGraphicFramePr>
      <xdr:xfrm>
        <a:off x="11430000" y="10601325"/>
        <a:ext cx="47339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85</xdr:row>
      <xdr:rowOff>133350</xdr:rowOff>
    </xdr:from>
    <xdr:to>
      <xdr:col>13</xdr:col>
      <xdr:colOff>333375</xdr:colOff>
      <xdr:row>106</xdr:row>
      <xdr:rowOff>19050</xdr:rowOff>
    </xdr:to>
    <xdr:graphicFrame>
      <xdr:nvGraphicFramePr>
        <xdr:cNvPr id="7" name="Chart 9"/>
        <xdr:cNvGraphicFramePr/>
      </xdr:nvGraphicFramePr>
      <xdr:xfrm>
        <a:off x="400050" y="13896975"/>
        <a:ext cx="5743575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66" zoomScaleNormal="66" zoomScaleSheetLayoutView="100" workbookViewId="0" topLeftCell="A36">
      <selection activeCell="A53" sqref="A53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5.00390625" style="0" customWidth="1"/>
    <col min="4" max="4" width="5.8515625" style="0" customWidth="1"/>
    <col min="5" max="5" width="9.8515625" style="0" customWidth="1"/>
    <col min="6" max="6" width="10.57421875" style="0" customWidth="1"/>
    <col min="7" max="7" width="9.28125" style="0" customWidth="1"/>
    <col min="8" max="8" width="6.140625" style="0" customWidth="1"/>
    <col min="9" max="9" width="8.28125" style="0" customWidth="1"/>
    <col min="10" max="10" width="9.421875" style="0" customWidth="1"/>
    <col min="11" max="11" width="4.421875" style="0" customWidth="1"/>
    <col min="12" max="12" width="4.140625" style="0" customWidth="1"/>
    <col min="13" max="13" width="3.00390625" style="0" bestFit="1" customWidth="1"/>
    <col min="14" max="14" width="9.421875" style="0" customWidth="1"/>
    <col min="15" max="15" width="6.8515625" style="0" customWidth="1"/>
    <col min="16" max="16" width="9.28125" style="0" customWidth="1"/>
    <col min="17" max="18" width="9.28125" style="0" bestFit="1" customWidth="1"/>
    <col min="19" max="19" width="11.57421875" style="0" bestFit="1" customWidth="1"/>
    <col min="20" max="21" width="9.28125" style="0" bestFit="1" customWidth="1"/>
  </cols>
  <sheetData>
    <row r="1" spans="1:22" ht="12.75">
      <c r="A1" t="s">
        <v>4</v>
      </c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S1">
        <v>6</v>
      </c>
      <c r="T1" t="s">
        <v>7</v>
      </c>
      <c r="V1">
        <v>1</v>
      </c>
    </row>
    <row r="2" spans="1:22" ht="12.75">
      <c r="A2" t="s">
        <v>3</v>
      </c>
      <c r="N2" t="s">
        <v>0</v>
      </c>
      <c r="P2" t="s">
        <v>1</v>
      </c>
      <c r="Q2" t="s">
        <v>2</v>
      </c>
      <c r="R2" s="1" t="s">
        <v>8</v>
      </c>
      <c r="S2">
        <f>N27/(365*24/S1)</f>
        <v>40.02739726027397</v>
      </c>
      <c r="U2" t="s">
        <v>5</v>
      </c>
      <c r="V2" t="s">
        <v>6</v>
      </c>
    </row>
    <row r="3" spans="1:22" ht="12.75">
      <c r="A3">
        <v>0</v>
      </c>
      <c r="B3">
        <f aca="true" t="shared" si="0" ref="B3:B25">A4</f>
        <v>25</v>
      </c>
      <c r="C3">
        <v>0</v>
      </c>
      <c r="D3">
        <v>0</v>
      </c>
      <c r="E3">
        <v>0</v>
      </c>
      <c r="F3">
        <v>11</v>
      </c>
      <c r="G3">
        <v>24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f aca="true" t="shared" si="1" ref="N3:N27">SUM(C3:M3)</f>
        <v>35</v>
      </c>
      <c r="O3">
        <f>N3</f>
        <v>35</v>
      </c>
      <c r="P3" s="2">
        <f aca="true" t="shared" si="2" ref="P3:P26">O3/$N$27</f>
        <v>0.0005989048596851471</v>
      </c>
      <c r="Q3" s="2">
        <f aca="true" t="shared" si="3" ref="Q3:Q26">($N$27-O3)/$N$27</f>
        <v>0.9994010951403148</v>
      </c>
      <c r="R3" s="2">
        <f aca="true" t="shared" si="4" ref="R3:R26">-LN(Q3)</f>
        <v>0.000599084274839293</v>
      </c>
      <c r="S3" s="2">
        <f aca="true" t="shared" si="5" ref="S3:S26">($N$27-O3)/$S$2</f>
        <v>1459.1255989048598</v>
      </c>
      <c r="T3" s="2">
        <f aca="true" t="shared" si="6" ref="T3:T26">LN(S3)</f>
        <v>7.285592630427543</v>
      </c>
      <c r="U3" s="2">
        <f aca="true" t="shared" si="7" ref="U3:U25">LN(A4)</f>
        <v>3.2188758248682006</v>
      </c>
      <c r="V3">
        <f aca="true" t="shared" si="8" ref="V3:V26">(LN(1/S3)^(1/$V$1))</f>
        <v>-7.285592630427543</v>
      </c>
    </row>
    <row r="4" spans="1:22" ht="12.75">
      <c r="A4">
        <v>25</v>
      </c>
      <c r="B4">
        <f t="shared" si="0"/>
        <v>50</v>
      </c>
      <c r="C4">
        <v>0</v>
      </c>
      <c r="D4">
        <v>0</v>
      </c>
      <c r="E4">
        <v>75</v>
      </c>
      <c r="F4">
        <v>3142</v>
      </c>
      <c r="G4">
        <v>4375</v>
      </c>
      <c r="H4">
        <v>549</v>
      </c>
      <c r="I4">
        <v>110</v>
      </c>
      <c r="J4">
        <v>8</v>
      </c>
      <c r="K4">
        <v>1</v>
      </c>
      <c r="L4">
        <v>0</v>
      </c>
      <c r="M4">
        <v>0</v>
      </c>
      <c r="N4">
        <f t="shared" si="1"/>
        <v>8260</v>
      </c>
      <c r="O4">
        <f aca="true" t="shared" si="9" ref="O4:O26">O3+N4</f>
        <v>8295</v>
      </c>
      <c r="P4" s="2">
        <f t="shared" si="2"/>
        <v>0.14194045174537986</v>
      </c>
      <c r="Q4" s="2">
        <f t="shared" si="3"/>
        <v>0.8580595482546202</v>
      </c>
      <c r="R4" s="2">
        <f t="shared" si="4"/>
        <v>0.15308177834232706</v>
      </c>
      <c r="S4" s="2">
        <f t="shared" si="5"/>
        <v>1252.7669404517453</v>
      </c>
      <c r="T4" s="2">
        <f t="shared" si="6"/>
        <v>7.1331099363600545</v>
      </c>
      <c r="U4" s="2">
        <f t="shared" si="7"/>
        <v>3.912023005428146</v>
      </c>
      <c r="V4">
        <f t="shared" si="8"/>
        <v>-7.1331099363600545</v>
      </c>
    </row>
    <row r="5" spans="1:22" ht="12.75">
      <c r="A5">
        <v>50</v>
      </c>
      <c r="B5">
        <f t="shared" si="0"/>
        <v>75</v>
      </c>
      <c r="C5">
        <v>0</v>
      </c>
      <c r="D5">
        <v>0</v>
      </c>
      <c r="E5">
        <v>25</v>
      </c>
      <c r="F5">
        <v>3717</v>
      </c>
      <c r="G5">
        <v>5786</v>
      </c>
      <c r="H5">
        <v>1571</v>
      </c>
      <c r="I5">
        <v>294</v>
      </c>
      <c r="J5">
        <v>25</v>
      </c>
      <c r="K5">
        <v>6</v>
      </c>
      <c r="L5">
        <v>0</v>
      </c>
      <c r="M5">
        <v>0</v>
      </c>
      <c r="N5">
        <f t="shared" si="1"/>
        <v>11424</v>
      </c>
      <c r="O5">
        <f t="shared" si="9"/>
        <v>19719</v>
      </c>
      <c r="P5" s="2">
        <f t="shared" si="2"/>
        <v>0.3374229979466119</v>
      </c>
      <c r="Q5" s="2">
        <f t="shared" si="3"/>
        <v>0.6625770020533881</v>
      </c>
      <c r="R5" s="2">
        <f t="shared" si="4"/>
        <v>0.4116184983613384</v>
      </c>
      <c r="S5" s="2">
        <f t="shared" si="5"/>
        <v>967.3624229979466</v>
      </c>
      <c r="T5" s="2">
        <f t="shared" si="6"/>
        <v>6.874573216341044</v>
      </c>
      <c r="U5" s="2">
        <f t="shared" si="7"/>
        <v>4.31748811353631</v>
      </c>
      <c r="V5">
        <f t="shared" si="8"/>
        <v>-6.874573216341044</v>
      </c>
    </row>
    <row r="6" spans="1:22" ht="12.75">
      <c r="A6">
        <v>75</v>
      </c>
      <c r="B6">
        <f t="shared" si="0"/>
        <v>100</v>
      </c>
      <c r="C6">
        <v>0</v>
      </c>
      <c r="D6">
        <v>0</v>
      </c>
      <c r="E6">
        <v>2</v>
      </c>
      <c r="F6">
        <v>1271</v>
      </c>
      <c r="G6">
        <v>6241</v>
      </c>
      <c r="H6">
        <v>2030</v>
      </c>
      <c r="I6">
        <v>455</v>
      </c>
      <c r="J6">
        <v>3</v>
      </c>
      <c r="K6">
        <v>2</v>
      </c>
      <c r="L6">
        <v>0</v>
      </c>
      <c r="M6">
        <v>0</v>
      </c>
      <c r="N6">
        <f t="shared" si="1"/>
        <v>10004</v>
      </c>
      <c r="O6">
        <f t="shared" si="9"/>
        <v>29723</v>
      </c>
      <c r="P6" s="2">
        <f t="shared" si="2"/>
        <v>0.5086071184120465</v>
      </c>
      <c r="Q6" s="2">
        <f t="shared" si="3"/>
        <v>0.49139288158795347</v>
      </c>
      <c r="R6" s="2">
        <f t="shared" si="4"/>
        <v>0.7105113049829819</v>
      </c>
      <c r="S6" s="2">
        <f t="shared" si="5"/>
        <v>717.433607118412</v>
      </c>
      <c r="T6" s="2">
        <f t="shared" si="6"/>
        <v>6.5756804097194</v>
      </c>
      <c r="U6" s="2">
        <f t="shared" si="7"/>
        <v>4.605170185988092</v>
      </c>
      <c r="V6">
        <f t="shared" si="8"/>
        <v>-6.5756804097194</v>
      </c>
    </row>
    <row r="7" spans="1:22" ht="12.75">
      <c r="A7">
        <v>100</v>
      </c>
      <c r="B7">
        <f t="shared" si="0"/>
        <v>125</v>
      </c>
      <c r="C7">
        <v>0</v>
      </c>
      <c r="D7">
        <v>0</v>
      </c>
      <c r="E7">
        <v>0</v>
      </c>
      <c r="F7">
        <v>147</v>
      </c>
      <c r="G7">
        <v>5129</v>
      </c>
      <c r="H7">
        <v>2034</v>
      </c>
      <c r="I7">
        <v>337</v>
      </c>
      <c r="J7">
        <v>2</v>
      </c>
      <c r="K7">
        <v>0</v>
      </c>
      <c r="L7">
        <v>0</v>
      </c>
      <c r="M7">
        <v>0</v>
      </c>
      <c r="N7">
        <f t="shared" si="1"/>
        <v>7649</v>
      </c>
      <c r="O7">
        <f t="shared" si="9"/>
        <v>37372</v>
      </c>
      <c r="P7" s="2">
        <f t="shared" si="2"/>
        <v>0.6394934976043806</v>
      </c>
      <c r="Q7" s="2">
        <f t="shared" si="3"/>
        <v>0.36050650239561943</v>
      </c>
      <c r="R7" s="2">
        <f t="shared" si="4"/>
        <v>1.020245285261356</v>
      </c>
      <c r="S7" s="2">
        <f t="shared" si="5"/>
        <v>526.3394934976044</v>
      </c>
      <c r="T7" s="2">
        <f t="shared" si="6"/>
        <v>6.265946429441026</v>
      </c>
      <c r="U7" s="2">
        <f t="shared" si="7"/>
        <v>4.8283137373023015</v>
      </c>
      <c r="V7">
        <f t="shared" si="8"/>
        <v>-6.265946429441026</v>
      </c>
    </row>
    <row r="8" spans="1:22" ht="12.75">
      <c r="A8">
        <v>125</v>
      </c>
      <c r="B8">
        <f t="shared" si="0"/>
        <v>150</v>
      </c>
      <c r="C8">
        <v>0</v>
      </c>
      <c r="D8">
        <v>0</v>
      </c>
      <c r="E8">
        <v>0</v>
      </c>
      <c r="F8">
        <v>8</v>
      </c>
      <c r="G8">
        <v>3136</v>
      </c>
      <c r="H8">
        <v>2154</v>
      </c>
      <c r="I8">
        <v>261</v>
      </c>
      <c r="J8">
        <v>3</v>
      </c>
      <c r="K8">
        <v>1</v>
      </c>
      <c r="L8">
        <v>0</v>
      </c>
      <c r="M8">
        <v>0</v>
      </c>
      <c r="N8">
        <f t="shared" si="1"/>
        <v>5563</v>
      </c>
      <c r="O8">
        <f t="shared" si="9"/>
        <v>42935</v>
      </c>
      <c r="P8" s="2">
        <f t="shared" si="2"/>
        <v>0.7346851471594799</v>
      </c>
      <c r="Q8" s="2">
        <f t="shared" si="3"/>
        <v>0.2653148528405202</v>
      </c>
      <c r="R8" s="2">
        <f t="shared" si="4"/>
        <v>1.3268380343300865</v>
      </c>
      <c r="S8" s="2">
        <f t="shared" si="5"/>
        <v>387.3596851471595</v>
      </c>
      <c r="T8" s="2">
        <f t="shared" si="6"/>
        <v>5.9593536803722955</v>
      </c>
      <c r="U8" s="2">
        <f t="shared" si="7"/>
        <v>5.0106352940962555</v>
      </c>
      <c r="V8">
        <f t="shared" si="8"/>
        <v>-5.9593536803722955</v>
      </c>
    </row>
    <row r="9" spans="1:22" ht="12.75">
      <c r="A9">
        <v>150</v>
      </c>
      <c r="B9">
        <f t="shared" si="0"/>
        <v>175</v>
      </c>
      <c r="C9">
        <v>0</v>
      </c>
      <c r="D9">
        <v>0</v>
      </c>
      <c r="E9">
        <v>0</v>
      </c>
      <c r="F9">
        <v>0</v>
      </c>
      <c r="G9">
        <v>1557</v>
      </c>
      <c r="H9">
        <v>2637</v>
      </c>
      <c r="I9">
        <v>190</v>
      </c>
      <c r="J9">
        <v>4</v>
      </c>
      <c r="K9">
        <v>1</v>
      </c>
      <c r="L9">
        <v>0</v>
      </c>
      <c r="M9">
        <v>0</v>
      </c>
      <c r="N9">
        <f t="shared" si="1"/>
        <v>4389</v>
      </c>
      <c r="O9">
        <f t="shared" si="9"/>
        <v>47324</v>
      </c>
      <c r="P9" s="2">
        <f t="shared" si="2"/>
        <v>0.8097878165639972</v>
      </c>
      <c r="Q9" s="2">
        <f t="shared" si="3"/>
        <v>0.19021218343600274</v>
      </c>
      <c r="R9" s="2">
        <f t="shared" si="4"/>
        <v>1.6596150750022414</v>
      </c>
      <c r="S9" s="2">
        <f t="shared" si="5"/>
        <v>277.709787816564</v>
      </c>
      <c r="T9" s="2">
        <f t="shared" si="6"/>
        <v>5.626576639700141</v>
      </c>
      <c r="U9" s="2">
        <f t="shared" si="7"/>
        <v>5.1647859739235145</v>
      </c>
      <c r="V9">
        <f t="shared" si="8"/>
        <v>-5.626576639700141</v>
      </c>
    </row>
    <row r="10" spans="1:22" ht="12.75">
      <c r="A10">
        <v>175</v>
      </c>
      <c r="B10">
        <f t="shared" si="0"/>
        <v>200</v>
      </c>
      <c r="C10">
        <v>0</v>
      </c>
      <c r="D10">
        <v>0</v>
      </c>
      <c r="E10">
        <v>0</v>
      </c>
      <c r="F10">
        <v>0</v>
      </c>
      <c r="G10">
        <v>460</v>
      </c>
      <c r="H10">
        <v>2511</v>
      </c>
      <c r="I10">
        <v>192</v>
      </c>
      <c r="J10">
        <v>4</v>
      </c>
      <c r="K10">
        <v>0</v>
      </c>
      <c r="L10">
        <v>0</v>
      </c>
      <c r="M10">
        <v>0</v>
      </c>
      <c r="N10">
        <f t="shared" si="1"/>
        <v>3167</v>
      </c>
      <c r="O10">
        <f t="shared" si="9"/>
        <v>50491</v>
      </c>
      <c r="P10" s="2">
        <f t="shared" si="2"/>
        <v>0.8639801505817933</v>
      </c>
      <c r="Q10" s="2">
        <f t="shared" si="3"/>
        <v>0.13601984941820672</v>
      </c>
      <c r="R10" s="2">
        <f t="shared" si="4"/>
        <v>1.994954452291523</v>
      </c>
      <c r="S10" s="2">
        <f t="shared" si="5"/>
        <v>198.5889801505818</v>
      </c>
      <c r="T10" s="2">
        <f t="shared" si="6"/>
        <v>5.291237262410859</v>
      </c>
      <c r="U10" s="2">
        <f t="shared" si="7"/>
        <v>5.298317366548036</v>
      </c>
      <c r="V10">
        <f t="shared" si="8"/>
        <v>-5.291237262410859</v>
      </c>
    </row>
    <row r="11" spans="1:22" ht="12.75">
      <c r="A11">
        <v>200</v>
      </c>
      <c r="B11">
        <f t="shared" si="0"/>
        <v>225</v>
      </c>
      <c r="C11">
        <v>0</v>
      </c>
      <c r="D11">
        <v>0</v>
      </c>
      <c r="E11">
        <v>0</v>
      </c>
      <c r="F11">
        <v>0</v>
      </c>
      <c r="G11">
        <v>37</v>
      </c>
      <c r="H11">
        <v>2021</v>
      </c>
      <c r="I11">
        <v>299</v>
      </c>
      <c r="J11">
        <v>3</v>
      </c>
      <c r="K11">
        <v>0</v>
      </c>
      <c r="L11">
        <v>0</v>
      </c>
      <c r="M11">
        <v>0</v>
      </c>
      <c r="N11">
        <f t="shared" si="1"/>
        <v>2360</v>
      </c>
      <c r="O11">
        <f t="shared" si="9"/>
        <v>52851</v>
      </c>
      <c r="P11" s="2">
        <f t="shared" si="2"/>
        <v>0.9043634496919918</v>
      </c>
      <c r="Q11" s="2">
        <f t="shared" si="3"/>
        <v>0.09563655030800822</v>
      </c>
      <c r="R11" s="2">
        <f t="shared" si="4"/>
        <v>2.3472002065949376</v>
      </c>
      <c r="S11" s="2">
        <f t="shared" si="5"/>
        <v>139.629363449692</v>
      </c>
      <c r="T11" s="2">
        <f t="shared" si="6"/>
        <v>4.938991508107445</v>
      </c>
      <c r="U11" s="2">
        <f t="shared" si="7"/>
        <v>5.41610040220442</v>
      </c>
      <c r="V11">
        <f t="shared" si="8"/>
        <v>-4.938991508107445</v>
      </c>
    </row>
    <row r="12" spans="1:22" ht="12.75">
      <c r="A12">
        <v>225</v>
      </c>
      <c r="B12">
        <f t="shared" si="0"/>
        <v>250</v>
      </c>
      <c r="C12">
        <v>0</v>
      </c>
      <c r="D12">
        <v>0</v>
      </c>
      <c r="E12">
        <v>0</v>
      </c>
      <c r="F12">
        <v>0</v>
      </c>
      <c r="G12">
        <v>4</v>
      </c>
      <c r="H12">
        <v>1157</v>
      </c>
      <c r="I12">
        <v>506</v>
      </c>
      <c r="J12">
        <v>4</v>
      </c>
      <c r="K12">
        <v>0</v>
      </c>
      <c r="L12">
        <v>0</v>
      </c>
      <c r="M12">
        <v>0</v>
      </c>
      <c r="N12">
        <f t="shared" si="1"/>
        <v>1671</v>
      </c>
      <c r="O12">
        <f t="shared" si="9"/>
        <v>54522</v>
      </c>
      <c r="P12" s="2">
        <f t="shared" si="2"/>
        <v>0.9329568788501027</v>
      </c>
      <c r="Q12" s="2">
        <f t="shared" si="3"/>
        <v>0.06704312114989733</v>
      </c>
      <c r="R12" s="2">
        <f t="shared" si="4"/>
        <v>2.70241926736015</v>
      </c>
      <c r="S12" s="2">
        <f t="shared" si="5"/>
        <v>97.88295687885011</v>
      </c>
      <c r="T12" s="2">
        <f t="shared" si="6"/>
        <v>4.583772447342232</v>
      </c>
      <c r="U12" s="2">
        <f t="shared" si="7"/>
        <v>5.521460917862246</v>
      </c>
      <c r="V12">
        <f t="shared" si="8"/>
        <v>-4.583772447342232</v>
      </c>
    </row>
    <row r="13" spans="1:22" ht="12.75">
      <c r="A13">
        <v>250</v>
      </c>
      <c r="B13">
        <f t="shared" si="0"/>
        <v>275</v>
      </c>
      <c r="C13">
        <v>0</v>
      </c>
      <c r="D13">
        <v>0</v>
      </c>
      <c r="E13">
        <v>0</v>
      </c>
      <c r="F13">
        <v>0</v>
      </c>
      <c r="G13">
        <v>0</v>
      </c>
      <c r="H13">
        <v>518</v>
      </c>
      <c r="I13">
        <v>709</v>
      </c>
      <c r="J13">
        <v>7</v>
      </c>
      <c r="K13">
        <v>0</v>
      </c>
      <c r="L13">
        <v>0</v>
      </c>
      <c r="M13">
        <v>0</v>
      </c>
      <c r="N13">
        <f t="shared" si="1"/>
        <v>1234</v>
      </c>
      <c r="O13">
        <f t="shared" si="9"/>
        <v>55756</v>
      </c>
      <c r="P13" s="2">
        <f t="shared" si="2"/>
        <v>0.954072553045859</v>
      </c>
      <c r="Q13" s="2">
        <f t="shared" si="3"/>
        <v>0.045927446954141</v>
      </c>
      <c r="R13" s="2">
        <f t="shared" si="4"/>
        <v>3.0806923677730635</v>
      </c>
      <c r="S13" s="2">
        <f t="shared" si="5"/>
        <v>67.05407255304586</v>
      </c>
      <c r="T13" s="2">
        <f t="shared" si="6"/>
        <v>4.205499346929319</v>
      </c>
      <c r="U13" s="2">
        <f t="shared" si="7"/>
        <v>5.616771097666572</v>
      </c>
      <c r="V13">
        <f t="shared" si="8"/>
        <v>-4.205499346929319</v>
      </c>
    </row>
    <row r="14" spans="1:22" ht="12.75">
      <c r="A14">
        <v>275</v>
      </c>
      <c r="B14">
        <f t="shared" si="0"/>
        <v>300</v>
      </c>
      <c r="C14">
        <v>0</v>
      </c>
      <c r="D14">
        <v>0</v>
      </c>
      <c r="E14">
        <v>0</v>
      </c>
      <c r="F14">
        <v>0</v>
      </c>
      <c r="G14">
        <v>0</v>
      </c>
      <c r="H14">
        <v>118</v>
      </c>
      <c r="I14">
        <v>727</v>
      </c>
      <c r="J14">
        <v>6</v>
      </c>
      <c r="K14">
        <v>0</v>
      </c>
      <c r="L14">
        <v>0</v>
      </c>
      <c r="M14">
        <v>0</v>
      </c>
      <c r="N14">
        <f t="shared" si="1"/>
        <v>851</v>
      </c>
      <c r="O14">
        <f t="shared" si="9"/>
        <v>56607</v>
      </c>
      <c r="P14" s="2">
        <f t="shared" si="2"/>
        <v>0.9686344969199179</v>
      </c>
      <c r="Q14" s="2">
        <f t="shared" si="3"/>
        <v>0.03136550308008214</v>
      </c>
      <c r="R14" s="2">
        <f t="shared" si="4"/>
        <v>3.4620466180249307</v>
      </c>
      <c r="S14" s="2">
        <f t="shared" si="5"/>
        <v>45.79363449691992</v>
      </c>
      <c r="T14" s="2">
        <f t="shared" si="6"/>
        <v>3.8241450966774515</v>
      </c>
      <c r="U14" s="2">
        <f t="shared" si="7"/>
        <v>5.703782474656201</v>
      </c>
      <c r="V14">
        <f t="shared" si="8"/>
        <v>-3.8241450966774515</v>
      </c>
    </row>
    <row r="15" spans="1:22" ht="12.75">
      <c r="A15">
        <v>300</v>
      </c>
      <c r="B15">
        <f t="shared" si="0"/>
        <v>325</v>
      </c>
      <c r="C15">
        <v>0</v>
      </c>
      <c r="D15">
        <v>0</v>
      </c>
      <c r="E15">
        <v>0</v>
      </c>
      <c r="F15">
        <v>0</v>
      </c>
      <c r="G15">
        <v>0</v>
      </c>
      <c r="H15">
        <v>7</v>
      </c>
      <c r="I15">
        <v>535</v>
      </c>
      <c r="J15">
        <v>14</v>
      </c>
      <c r="K15">
        <v>0</v>
      </c>
      <c r="L15">
        <v>0</v>
      </c>
      <c r="M15">
        <v>0</v>
      </c>
      <c r="N15">
        <f t="shared" si="1"/>
        <v>556</v>
      </c>
      <c r="O15">
        <f t="shared" si="9"/>
        <v>57163</v>
      </c>
      <c r="P15" s="2">
        <f t="shared" si="2"/>
        <v>0.978148528405202</v>
      </c>
      <c r="Q15" s="2">
        <f t="shared" si="3"/>
        <v>0.021851471594798083</v>
      </c>
      <c r="R15" s="2">
        <f t="shared" si="4"/>
        <v>3.8234870098320966</v>
      </c>
      <c r="S15" s="2">
        <f t="shared" si="5"/>
        <v>31.903148528405204</v>
      </c>
      <c r="T15" s="2">
        <f t="shared" si="6"/>
        <v>3.4627047048702857</v>
      </c>
      <c r="U15" s="2">
        <f t="shared" si="7"/>
        <v>5.783825182329737</v>
      </c>
      <c r="V15">
        <f t="shared" si="8"/>
        <v>-3.4627047048702857</v>
      </c>
    </row>
    <row r="16" spans="1:22" ht="12.75">
      <c r="A16">
        <v>325</v>
      </c>
      <c r="B16">
        <f t="shared" si="0"/>
        <v>350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374</v>
      </c>
      <c r="J16">
        <v>18</v>
      </c>
      <c r="K16">
        <v>0</v>
      </c>
      <c r="L16">
        <v>0</v>
      </c>
      <c r="M16">
        <v>0</v>
      </c>
      <c r="N16">
        <f t="shared" si="1"/>
        <v>392</v>
      </c>
      <c r="O16">
        <f t="shared" si="9"/>
        <v>57555</v>
      </c>
      <c r="P16" s="2">
        <f t="shared" si="2"/>
        <v>0.9848562628336756</v>
      </c>
      <c r="Q16" s="2">
        <f t="shared" si="3"/>
        <v>0.015143737166324436</v>
      </c>
      <c r="R16" s="2">
        <f t="shared" si="4"/>
        <v>4.190168220856706</v>
      </c>
      <c r="S16" s="2">
        <f t="shared" si="5"/>
        <v>22.109856262833677</v>
      </c>
      <c r="T16" s="2">
        <f t="shared" si="6"/>
        <v>3.096023493845676</v>
      </c>
      <c r="U16" s="2">
        <f t="shared" si="7"/>
        <v>5.857933154483459</v>
      </c>
      <c r="V16">
        <f t="shared" si="8"/>
        <v>-3.096023493845676</v>
      </c>
    </row>
    <row r="17" spans="1:22" ht="12.75">
      <c r="A17">
        <v>350</v>
      </c>
      <c r="B17">
        <f t="shared" si="0"/>
        <v>375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229</v>
      </c>
      <c r="J17">
        <v>47</v>
      </c>
      <c r="K17">
        <v>0</v>
      </c>
      <c r="L17">
        <v>0</v>
      </c>
      <c r="M17">
        <v>0</v>
      </c>
      <c r="N17">
        <f t="shared" si="1"/>
        <v>276</v>
      </c>
      <c r="O17">
        <f t="shared" si="9"/>
        <v>57831</v>
      </c>
      <c r="P17" s="2">
        <f t="shared" si="2"/>
        <v>0.9895790554414784</v>
      </c>
      <c r="Q17" s="2">
        <f t="shared" si="3"/>
        <v>0.01042094455852156</v>
      </c>
      <c r="R17" s="2">
        <f t="shared" si="4"/>
        <v>4.563937598154739</v>
      </c>
      <c r="S17" s="2">
        <f t="shared" si="5"/>
        <v>15.21457905544148</v>
      </c>
      <c r="T17" s="2">
        <f t="shared" si="6"/>
        <v>2.7222541165476435</v>
      </c>
      <c r="U17" s="2">
        <f t="shared" si="7"/>
        <v>5.926926025970411</v>
      </c>
      <c r="V17">
        <f t="shared" si="8"/>
        <v>-2.7222541165476435</v>
      </c>
    </row>
    <row r="18" spans="1:22" ht="12.75">
      <c r="A18">
        <v>375</v>
      </c>
      <c r="B18">
        <f t="shared" si="0"/>
        <v>400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121</v>
      </c>
      <c r="J18">
        <v>85</v>
      </c>
      <c r="K18">
        <v>0</v>
      </c>
      <c r="L18">
        <v>0</v>
      </c>
      <c r="M18">
        <v>0</v>
      </c>
      <c r="N18">
        <f t="shared" si="1"/>
        <v>206</v>
      </c>
      <c r="O18">
        <f t="shared" si="9"/>
        <v>58037</v>
      </c>
      <c r="P18" s="2">
        <f t="shared" si="2"/>
        <v>0.993104038329911</v>
      </c>
      <c r="Q18" s="2">
        <f t="shared" si="3"/>
        <v>0.00689596167008898</v>
      </c>
      <c r="R18" s="2">
        <f t="shared" si="4"/>
        <v>4.976819303917953</v>
      </c>
      <c r="S18" s="2">
        <f t="shared" si="5"/>
        <v>10.068104038329912</v>
      </c>
      <c r="T18" s="2">
        <f t="shared" si="6"/>
        <v>2.3093724107844293</v>
      </c>
      <c r="U18" s="2">
        <f t="shared" si="7"/>
        <v>5.991464547107982</v>
      </c>
      <c r="V18">
        <f t="shared" si="8"/>
        <v>-2.3093724107844293</v>
      </c>
    </row>
    <row r="19" spans="1:22" ht="12.75">
      <c r="A19">
        <v>400</v>
      </c>
      <c r="B19">
        <f t="shared" si="0"/>
        <v>425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41</v>
      </c>
      <c r="J19">
        <v>95</v>
      </c>
      <c r="K19">
        <v>0</v>
      </c>
      <c r="L19">
        <v>0</v>
      </c>
      <c r="M19">
        <v>0</v>
      </c>
      <c r="N19">
        <f t="shared" si="1"/>
        <v>136</v>
      </c>
      <c r="O19">
        <f t="shared" si="9"/>
        <v>58173</v>
      </c>
      <c r="P19" s="2">
        <f t="shared" si="2"/>
        <v>0.9954312114989733</v>
      </c>
      <c r="Q19" s="2">
        <f t="shared" si="3"/>
        <v>0.004568788501026694</v>
      </c>
      <c r="R19" s="2">
        <f t="shared" si="4"/>
        <v>5.388507207464387</v>
      </c>
      <c r="S19" s="2">
        <f t="shared" si="5"/>
        <v>6.670431211498974</v>
      </c>
      <c r="T19" s="2">
        <f t="shared" si="6"/>
        <v>1.897684507237996</v>
      </c>
      <c r="U19" s="2">
        <f t="shared" si="7"/>
        <v>6.052089168924417</v>
      </c>
      <c r="V19">
        <f t="shared" si="8"/>
        <v>-1.897684507237996</v>
      </c>
    </row>
    <row r="20" spans="1:22" ht="12.75">
      <c r="A20">
        <v>425</v>
      </c>
      <c r="B20">
        <f t="shared" si="0"/>
        <v>450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3</v>
      </c>
      <c r="J20">
        <v>77</v>
      </c>
      <c r="K20">
        <v>2</v>
      </c>
      <c r="L20">
        <v>0</v>
      </c>
      <c r="M20">
        <v>0</v>
      </c>
      <c r="N20">
        <f t="shared" si="1"/>
        <v>82</v>
      </c>
      <c r="O20">
        <f t="shared" si="9"/>
        <v>58255</v>
      </c>
      <c r="P20" s="2">
        <f t="shared" si="2"/>
        <v>0.9968343600273785</v>
      </c>
      <c r="Q20" s="2">
        <f t="shared" si="3"/>
        <v>0.003165639972621492</v>
      </c>
      <c r="R20" s="2">
        <f t="shared" si="4"/>
        <v>5.755400040786311</v>
      </c>
      <c r="S20" s="2">
        <f t="shared" si="5"/>
        <v>4.621834360027378</v>
      </c>
      <c r="T20" s="2">
        <f t="shared" si="6"/>
        <v>1.5307916739160712</v>
      </c>
      <c r="U20" s="2">
        <f t="shared" si="7"/>
        <v>6.1092475827643655</v>
      </c>
      <c r="V20">
        <f t="shared" si="8"/>
        <v>-1.5307916739160712</v>
      </c>
    </row>
    <row r="21" spans="1:22" ht="12.75">
      <c r="A21">
        <v>450</v>
      </c>
      <c r="B21">
        <f t="shared" si="0"/>
        <v>475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59</v>
      </c>
      <c r="K21">
        <v>7</v>
      </c>
      <c r="L21">
        <v>0</v>
      </c>
      <c r="M21">
        <v>0</v>
      </c>
      <c r="N21">
        <f t="shared" si="1"/>
        <v>66</v>
      </c>
      <c r="O21">
        <f t="shared" si="9"/>
        <v>58321</v>
      </c>
      <c r="P21" s="2">
        <f t="shared" si="2"/>
        <v>0.9979637234770705</v>
      </c>
      <c r="Q21" s="2">
        <f t="shared" si="3"/>
        <v>0.0020362765229295005</v>
      </c>
      <c r="R21" s="2">
        <f t="shared" si="4"/>
        <v>6.196632372753107</v>
      </c>
      <c r="S21" s="2">
        <f t="shared" si="5"/>
        <v>2.9729637234770707</v>
      </c>
      <c r="T21" s="2">
        <f t="shared" si="6"/>
        <v>1.0895593419492757</v>
      </c>
      <c r="U21" s="2">
        <f t="shared" si="7"/>
        <v>6.163314804034641</v>
      </c>
      <c r="V21">
        <f t="shared" si="8"/>
        <v>-1.089559341949276</v>
      </c>
    </row>
    <row r="22" spans="1:22" ht="12.75">
      <c r="A22">
        <v>475</v>
      </c>
      <c r="B22">
        <f t="shared" si="0"/>
        <v>500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28</v>
      </c>
      <c r="K22">
        <v>10</v>
      </c>
      <c r="L22">
        <v>0</v>
      </c>
      <c r="M22">
        <v>0</v>
      </c>
      <c r="N22">
        <f t="shared" si="1"/>
        <v>38</v>
      </c>
      <c r="O22">
        <f t="shared" si="9"/>
        <v>58359</v>
      </c>
      <c r="P22" s="2">
        <f t="shared" si="2"/>
        <v>0.9986139630390144</v>
      </c>
      <c r="Q22" s="2">
        <f t="shared" si="3"/>
        <v>0.0013860369609856264</v>
      </c>
      <c r="R22" s="2">
        <f t="shared" si="4"/>
        <v>6.581306711192197</v>
      </c>
      <c r="S22" s="2">
        <f t="shared" si="5"/>
        <v>2.0236139630390144</v>
      </c>
      <c r="T22" s="2">
        <f t="shared" si="6"/>
        <v>0.7048850035101851</v>
      </c>
      <c r="U22" s="2">
        <f t="shared" si="7"/>
        <v>6.214608098422191</v>
      </c>
      <c r="V22">
        <f t="shared" si="8"/>
        <v>-0.7048850035101851</v>
      </c>
    </row>
    <row r="23" spans="1:22" ht="12.75">
      <c r="A23">
        <v>500</v>
      </c>
      <c r="B23">
        <f t="shared" si="0"/>
        <v>525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15</v>
      </c>
      <c r="K23">
        <v>15</v>
      </c>
      <c r="L23">
        <v>0</v>
      </c>
      <c r="M23">
        <v>0</v>
      </c>
      <c r="N23">
        <f t="shared" si="1"/>
        <v>30</v>
      </c>
      <c r="O23">
        <f t="shared" si="9"/>
        <v>58389</v>
      </c>
      <c r="P23" s="2">
        <f t="shared" si="2"/>
        <v>0.9991273100616016</v>
      </c>
      <c r="Q23" s="2">
        <f t="shared" si="3"/>
        <v>0.0008726899383983573</v>
      </c>
      <c r="R23" s="2">
        <f t="shared" si="4"/>
        <v>7.04393023314031</v>
      </c>
      <c r="S23" s="2">
        <f t="shared" si="5"/>
        <v>1.2741273100616017</v>
      </c>
      <c r="T23" s="2">
        <f t="shared" si="6"/>
        <v>0.2422614815620722</v>
      </c>
      <c r="U23" s="2">
        <f t="shared" si="7"/>
        <v>6.263398262591624</v>
      </c>
      <c r="V23">
        <f t="shared" si="8"/>
        <v>-0.24226148156207222</v>
      </c>
    </row>
    <row r="24" spans="1:22" ht="12.75">
      <c r="A24">
        <v>525</v>
      </c>
      <c r="B24">
        <f t="shared" si="0"/>
        <v>550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3</v>
      </c>
      <c r="K24">
        <v>17</v>
      </c>
      <c r="L24">
        <v>0</v>
      </c>
      <c r="M24">
        <v>0</v>
      </c>
      <c r="N24">
        <f t="shared" si="1"/>
        <v>20</v>
      </c>
      <c r="O24">
        <f t="shared" si="9"/>
        <v>58409</v>
      </c>
      <c r="P24" s="2">
        <f t="shared" si="2"/>
        <v>0.9994695414099931</v>
      </c>
      <c r="Q24" s="2">
        <f t="shared" si="3"/>
        <v>0.0005304585900068446</v>
      </c>
      <c r="R24" s="2">
        <f t="shared" si="4"/>
        <v>7.541768661379489</v>
      </c>
      <c r="S24" s="2">
        <f t="shared" si="5"/>
        <v>0.7744695414099931</v>
      </c>
      <c r="T24" s="2">
        <f t="shared" si="6"/>
        <v>-0.25557694667710745</v>
      </c>
      <c r="U24" s="2">
        <f t="shared" si="7"/>
        <v>6.309918278226516</v>
      </c>
      <c r="V24">
        <f t="shared" si="8"/>
        <v>0.25557694667710734</v>
      </c>
    </row>
    <row r="25" spans="1:22" ht="12.75">
      <c r="A25">
        <v>550</v>
      </c>
      <c r="B25">
        <f t="shared" si="0"/>
        <v>575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22</v>
      </c>
      <c r="L25">
        <v>0</v>
      </c>
      <c r="M25">
        <v>0</v>
      </c>
      <c r="N25">
        <f t="shared" si="1"/>
        <v>22</v>
      </c>
      <c r="O25">
        <f t="shared" si="9"/>
        <v>58431</v>
      </c>
      <c r="P25" s="2">
        <f t="shared" si="2"/>
        <v>0.9998459958932239</v>
      </c>
      <c r="Q25" s="2">
        <f t="shared" si="3"/>
        <v>0.0001540041067761807</v>
      </c>
      <c r="R25" s="2">
        <f t="shared" si="4"/>
        <v>8.778531288528416</v>
      </c>
      <c r="S25" s="2">
        <f t="shared" si="5"/>
        <v>0.22484599589322382</v>
      </c>
      <c r="T25" s="2">
        <f t="shared" si="6"/>
        <v>-1.4923395738260343</v>
      </c>
      <c r="U25" s="2">
        <f t="shared" si="7"/>
        <v>6.354370040797351</v>
      </c>
      <c r="V25">
        <f t="shared" si="8"/>
        <v>1.4923395738260343</v>
      </c>
    </row>
    <row r="26" spans="1:22" ht="12.75">
      <c r="A26">
        <v>575</v>
      </c>
      <c r="B26">
        <v>600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9</v>
      </c>
      <c r="L26">
        <v>0</v>
      </c>
      <c r="M26">
        <v>0</v>
      </c>
      <c r="N26">
        <f t="shared" si="1"/>
        <v>9</v>
      </c>
      <c r="O26">
        <f t="shared" si="9"/>
        <v>58440</v>
      </c>
      <c r="P26" s="2">
        <f t="shared" si="2"/>
        <v>1</v>
      </c>
      <c r="Q26" s="2">
        <f t="shared" si="3"/>
        <v>0</v>
      </c>
      <c r="R26" s="2" t="e">
        <f t="shared" si="4"/>
        <v>#NUM!</v>
      </c>
      <c r="S26" s="2">
        <f t="shared" si="5"/>
        <v>0</v>
      </c>
      <c r="T26" s="2" t="e">
        <f t="shared" si="6"/>
        <v>#NUM!</v>
      </c>
      <c r="U26" s="2" t="e">
        <f>LN(#REF!)</f>
        <v>#REF!</v>
      </c>
      <c r="V26" t="e">
        <f t="shared" si="8"/>
        <v>#DIV/0!</v>
      </c>
    </row>
    <row r="27" spans="3:14" ht="12.75">
      <c r="C27">
        <f aca="true" t="shared" si="10" ref="C27:M27">SUM(C3:C26)</f>
        <v>0</v>
      </c>
      <c r="D27">
        <f t="shared" si="10"/>
        <v>0</v>
      </c>
      <c r="E27">
        <f t="shared" si="10"/>
        <v>102</v>
      </c>
      <c r="F27">
        <f t="shared" si="10"/>
        <v>8296</v>
      </c>
      <c r="G27">
        <f t="shared" si="10"/>
        <v>26749</v>
      </c>
      <c r="H27">
        <f t="shared" si="10"/>
        <v>17307</v>
      </c>
      <c r="I27">
        <f t="shared" si="10"/>
        <v>5383</v>
      </c>
      <c r="J27">
        <f t="shared" si="10"/>
        <v>510</v>
      </c>
      <c r="K27">
        <f t="shared" si="10"/>
        <v>93</v>
      </c>
      <c r="L27">
        <f t="shared" si="10"/>
        <v>0</v>
      </c>
      <c r="M27">
        <f t="shared" si="10"/>
        <v>0</v>
      </c>
      <c r="N27">
        <f t="shared" si="1"/>
        <v>58440</v>
      </c>
    </row>
    <row r="30" spans="3:8" ht="12.75">
      <c r="C30">
        <v>150</v>
      </c>
      <c r="D30">
        <v>200</v>
      </c>
      <c r="E30">
        <v>250</v>
      </c>
      <c r="F30">
        <v>300</v>
      </c>
      <c r="G30">
        <v>350</v>
      </c>
      <c r="H30">
        <v>400</v>
      </c>
    </row>
    <row r="31" spans="1:8" ht="12.75">
      <c r="A31">
        <v>150</v>
      </c>
      <c r="B31">
        <f aca="true" t="shared" si="11" ref="B31:B47">A32</f>
        <v>175</v>
      </c>
      <c r="C31">
        <v>384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ht="12.75">
      <c r="A32">
        <v>175</v>
      </c>
      <c r="B32">
        <f t="shared" si="11"/>
        <v>200</v>
      </c>
      <c r="C32">
        <v>381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ht="12.75">
      <c r="A33">
        <v>200</v>
      </c>
      <c r="B33">
        <f t="shared" si="11"/>
        <v>225</v>
      </c>
      <c r="C33">
        <v>266</v>
      </c>
      <c r="D33">
        <v>222</v>
      </c>
      <c r="E33">
        <v>0</v>
      </c>
      <c r="F33">
        <v>0</v>
      </c>
      <c r="G33">
        <v>0</v>
      </c>
      <c r="H33">
        <v>0</v>
      </c>
    </row>
    <row r="34" spans="1:8" ht="12.75">
      <c r="A34">
        <v>225</v>
      </c>
      <c r="B34">
        <f t="shared" si="11"/>
        <v>250</v>
      </c>
      <c r="C34">
        <v>157</v>
      </c>
      <c r="D34">
        <v>277</v>
      </c>
      <c r="E34">
        <v>0</v>
      </c>
      <c r="F34">
        <v>0</v>
      </c>
      <c r="G34">
        <v>0</v>
      </c>
      <c r="H34">
        <v>0</v>
      </c>
    </row>
    <row r="35" spans="1:8" ht="12.75">
      <c r="A35">
        <v>250</v>
      </c>
      <c r="B35">
        <f t="shared" si="11"/>
        <v>275</v>
      </c>
      <c r="C35">
        <v>148</v>
      </c>
      <c r="D35">
        <v>202</v>
      </c>
      <c r="E35">
        <v>163</v>
      </c>
      <c r="F35">
        <v>0</v>
      </c>
      <c r="G35">
        <v>0</v>
      </c>
      <c r="H35">
        <v>0</v>
      </c>
    </row>
    <row r="36" spans="1:8" ht="12.75">
      <c r="A36">
        <v>275</v>
      </c>
      <c r="B36">
        <f t="shared" si="11"/>
        <v>300</v>
      </c>
      <c r="C36">
        <v>111</v>
      </c>
      <c r="D36">
        <v>149</v>
      </c>
      <c r="E36">
        <v>208</v>
      </c>
      <c r="F36">
        <v>0</v>
      </c>
      <c r="G36">
        <v>0</v>
      </c>
      <c r="H36">
        <v>0</v>
      </c>
    </row>
    <row r="37" spans="1:8" ht="12.75">
      <c r="A37">
        <v>300</v>
      </c>
      <c r="B37">
        <f t="shared" si="11"/>
        <v>325</v>
      </c>
      <c r="C37">
        <v>81</v>
      </c>
      <c r="D37">
        <v>93</v>
      </c>
      <c r="E37">
        <v>121</v>
      </c>
      <c r="F37">
        <v>73</v>
      </c>
      <c r="G37">
        <v>0</v>
      </c>
      <c r="H37">
        <v>0</v>
      </c>
    </row>
    <row r="38" spans="1:8" ht="12.75">
      <c r="A38">
        <v>325</v>
      </c>
      <c r="B38">
        <f t="shared" si="11"/>
        <v>350</v>
      </c>
      <c r="C38">
        <v>63</v>
      </c>
      <c r="D38">
        <v>72</v>
      </c>
      <c r="E38">
        <v>89</v>
      </c>
      <c r="F38">
        <v>98</v>
      </c>
      <c r="G38">
        <v>0</v>
      </c>
      <c r="H38">
        <v>0</v>
      </c>
    </row>
    <row r="39" spans="1:8" ht="12.75">
      <c r="A39">
        <v>350</v>
      </c>
      <c r="B39">
        <f t="shared" si="11"/>
        <v>375</v>
      </c>
      <c r="C39">
        <v>31</v>
      </c>
      <c r="D39">
        <v>34</v>
      </c>
      <c r="E39">
        <v>41</v>
      </c>
      <c r="F39">
        <v>53</v>
      </c>
      <c r="G39">
        <v>29</v>
      </c>
      <c r="H39">
        <v>0</v>
      </c>
    </row>
    <row r="40" spans="1:8" ht="12.75">
      <c r="A40">
        <v>375</v>
      </c>
      <c r="B40">
        <f t="shared" si="11"/>
        <v>400</v>
      </c>
      <c r="C40">
        <v>32</v>
      </c>
      <c r="D40">
        <v>40</v>
      </c>
      <c r="E40">
        <v>49</v>
      </c>
      <c r="F40">
        <v>50</v>
      </c>
      <c r="G40">
        <v>63</v>
      </c>
      <c r="H40">
        <v>0</v>
      </c>
    </row>
    <row r="41" spans="1:8" ht="12.75">
      <c r="A41">
        <v>400</v>
      </c>
      <c r="B41">
        <f t="shared" si="11"/>
        <v>425</v>
      </c>
      <c r="C41">
        <v>23</v>
      </c>
      <c r="D41">
        <v>24</v>
      </c>
      <c r="E41">
        <v>29</v>
      </c>
      <c r="F41">
        <v>31</v>
      </c>
      <c r="G41">
        <v>32</v>
      </c>
      <c r="H41">
        <v>15</v>
      </c>
    </row>
    <row r="42" spans="1:8" ht="12.75">
      <c r="A42">
        <v>425</v>
      </c>
      <c r="B42">
        <f t="shared" si="11"/>
        <v>450</v>
      </c>
      <c r="C42">
        <v>11</v>
      </c>
      <c r="D42">
        <v>17</v>
      </c>
      <c r="E42">
        <v>18</v>
      </c>
      <c r="F42">
        <v>19</v>
      </c>
      <c r="G42">
        <v>23</v>
      </c>
      <c r="H42">
        <v>24</v>
      </c>
    </row>
    <row r="43" spans="1:8" ht="12.75">
      <c r="A43">
        <v>450</v>
      </c>
      <c r="B43">
        <f t="shared" si="11"/>
        <v>475</v>
      </c>
      <c r="C43">
        <v>20</v>
      </c>
      <c r="D43">
        <v>21</v>
      </c>
      <c r="E43">
        <v>20</v>
      </c>
      <c r="F43">
        <v>21</v>
      </c>
      <c r="G43">
        <v>21</v>
      </c>
      <c r="H43">
        <v>23</v>
      </c>
    </row>
    <row r="44" spans="1:8" ht="12.75">
      <c r="A44">
        <v>475</v>
      </c>
      <c r="B44">
        <f t="shared" si="11"/>
        <v>500</v>
      </c>
      <c r="C44">
        <v>9</v>
      </c>
      <c r="D44">
        <v>9</v>
      </c>
      <c r="E44">
        <v>11</v>
      </c>
      <c r="F44">
        <v>12</v>
      </c>
      <c r="G44">
        <v>13</v>
      </c>
      <c r="H44">
        <v>14</v>
      </c>
    </row>
    <row r="45" spans="1:8" ht="12.75">
      <c r="A45">
        <v>500</v>
      </c>
      <c r="B45">
        <f t="shared" si="11"/>
        <v>525</v>
      </c>
      <c r="C45">
        <v>7</v>
      </c>
      <c r="D45">
        <v>7</v>
      </c>
      <c r="E45">
        <v>6</v>
      </c>
      <c r="F45">
        <v>7</v>
      </c>
      <c r="G45">
        <v>6</v>
      </c>
      <c r="H45">
        <v>7</v>
      </c>
    </row>
    <row r="46" spans="1:8" ht="12.75">
      <c r="A46">
        <v>525</v>
      </c>
      <c r="B46">
        <f t="shared" si="11"/>
        <v>550</v>
      </c>
      <c r="C46">
        <v>9</v>
      </c>
      <c r="D46">
        <v>9</v>
      </c>
      <c r="E46">
        <v>9</v>
      </c>
      <c r="F46">
        <v>9</v>
      </c>
      <c r="G46">
        <v>9</v>
      </c>
      <c r="H46">
        <v>8</v>
      </c>
    </row>
    <row r="47" spans="1:8" ht="12.75">
      <c r="A47">
        <v>550</v>
      </c>
      <c r="B47">
        <f t="shared" si="11"/>
        <v>575</v>
      </c>
      <c r="C47">
        <v>8</v>
      </c>
      <c r="D47">
        <v>9</v>
      </c>
      <c r="E47">
        <v>8</v>
      </c>
      <c r="F47">
        <v>8</v>
      </c>
      <c r="G47">
        <v>8</v>
      </c>
      <c r="H47">
        <v>9</v>
      </c>
    </row>
    <row r="48" spans="1:8" ht="12.75">
      <c r="A48">
        <v>575</v>
      </c>
      <c r="B48">
        <v>600</v>
      </c>
      <c r="C48">
        <v>5</v>
      </c>
      <c r="D48">
        <v>6</v>
      </c>
      <c r="E48">
        <v>6</v>
      </c>
      <c r="F48">
        <v>6</v>
      </c>
      <c r="G48">
        <v>6</v>
      </c>
      <c r="H48">
        <v>6</v>
      </c>
    </row>
    <row r="49" spans="3:8" ht="12.75">
      <c r="C49">
        <f aca="true" t="shared" si="12" ref="C49:H49">SUM(C31:C48)</f>
        <v>1746</v>
      </c>
      <c r="D49">
        <f t="shared" si="12"/>
        <v>1191</v>
      </c>
      <c r="E49">
        <f t="shared" si="12"/>
        <v>778</v>
      </c>
      <c r="F49">
        <f t="shared" si="12"/>
        <v>387</v>
      </c>
      <c r="G49">
        <f t="shared" si="12"/>
        <v>210</v>
      </c>
      <c r="H49">
        <f t="shared" si="12"/>
        <v>106</v>
      </c>
    </row>
    <row r="52" spans="13:14" ht="12.75">
      <c r="M52" t="s">
        <v>12</v>
      </c>
      <c r="N52">
        <v>1.24</v>
      </c>
    </row>
    <row r="53" spans="3:14" ht="12.75">
      <c r="C53">
        <v>150</v>
      </c>
      <c r="D53" t="s">
        <v>9</v>
      </c>
      <c r="E53" t="s">
        <v>1</v>
      </c>
      <c r="F53" t="s">
        <v>2</v>
      </c>
      <c r="G53" t="s">
        <v>17</v>
      </c>
      <c r="H53" s="1" t="s">
        <v>10</v>
      </c>
      <c r="I53" t="s">
        <v>13</v>
      </c>
      <c r="J53" t="s">
        <v>18</v>
      </c>
      <c r="N53" t="s">
        <v>6</v>
      </c>
    </row>
    <row r="54" spans="1:14" ht="12.75">
      <c r="A54" s="3">
        <v>1.5</v>
      </c>
      <c r="B54" s="3">
        <f aca="true" t="shared" si="13" ref="B54:B70">A55</f>
        <v>1.75</v>
      </c>
      <c r="C54">
        <v>384</v>
      </c>
      <c r="D54">
        <f>C54</f>
        <v>384</v>
      </c>
      <c r="E54" s="4">
        <f aca="true" t="shared" si="14" ref="E54:E71">D54/$C$72</f>
        <v>0.21993127147766323</v>
      </c>
      <c r="F54" s="4">
        <f aca="true" t="shared" si="15" ref="F54:F71">($C$72-D54)/$C$72</f>
        <v>0.7800687285223368</v>
      </c>
      <c r="G54" s="4">
        <f aca="true" t="shared" si="16" ref="G54:G71">LN(I54)</f>
        <v>4.220977213155467</v>
      </c>
      <c r="H54" s="1">
        <f aca="true" t="shared" si="17" ref="H54:H71">-LN(B54)</f>
        <v>-0.5596157879354227</v>
      </c>
      <c r="I54" s="3">
        <f aca="true" t="shared" si="18" ref="I54:I71">F54*$C$73</f>
        <v>68.1</v>
      </c>
      <c r="J54">
        <f aca="true" t="shared" si="19" ref="J54:J71">-LN(LN(1/E54))</f>
        <v>-0.4150458550378452</v>
      </c>
      <c r="N54" s="4">
        <f aca="true" t="shared" si="20" ref="N54:N71">LN(1/F54)^(1/$N$52)</f>
        <v>0.3252230408276238</v>
      </c>
    </row>
    <row r="55" spans="1:14" ht="12.75">
      <c r="A55" s="3">
        <f aca="true" t="shared" si="21" ref="A55:A71">A54+0.25</f>
        <v>1.75</v>
      </c>
      <c r="B55" s="3">
        <f t="shared" si="13"/>
        <v>2</v>
      </c>
      <c r="C55">
        <v>381</v>
      </c>
      <c r="D55">
        <f aca="true" t="shared" si="22" ref="D55:D71">D54+C55</f>
        <v>765</v>
      </c>
      <c r="E55" s="4">
        <f t="shared" si="14"/>
        <v>0.4381443298969072</v>
      </c>
      <c r="F55" s="4">
        <f t="shared" si="15"/>
        <v>0.5618556701030928</v>
      </c>
      <c r="G55" s="4">
        <f t="shared" si="16"/>
        <v>3.892840186011372</v>
      </c>
      <c r="H55" s="1">
        <f t="shared" si="17"/>
        <v>-0.6931471805599453</v>
      </c>
      <c r="I55" s="3">
        <f t="shared" si="18"/>
        <v>49.05</v>
      </c>
      <c r="J55">
        <f t="shared" si="19"/>
        <v>0.19212113309267148</v>
      </c>
      <c r="N55" s="4">
        <f t="shared" si="20"/>
        <v>0.6413608740122573</v>
      </c>
    </row>
    <row r="56" spans="1:14" ht="12.75">
      <c r="A56" s="3">
        <f t="shared" si="21"/>
        <v>2</v>
      </c>
      <c r="B56" s="3">
        <f t="shared" si="13"/>
        <v>2.25</v>
      </c>
      <c r="C56">
        <v>266</v>
      </c>
      <c r="D56">
        <f t="shared" si="22"/>
        <v>1031</v>
      </c>
      <c r="E56" s="4">
        <f t="shared" si="14"/>
        <v>0.5904925544100802</v>
      </c>
      <c r="F56" s="4">
        <f t="shared" si="15"/>
        <v>0.4095074455899198</v>
      </c>
      <c r="G56" s="4">
        <f t="shared" si="16"/>
        <v>3.5765502691400166</v>
      </c>
      <c r="H56" s="1">
        <f t="shared" si="17"/>
        <v>-0.8109302162163288</v>
      </c>
      <c r="I56" s="3">
        <f t="shared" si="18"/>
        <v>35.75</v>
      </c>
      <c r="J56">
        <f t="shared" si="19"/>
        <v>0.6409376265395699</v>
      </c>
      <c r="N56" s="4">
        <f t="shared" si="20"/>
        <v>0.9126110150124174</v>
      </c>
    </row>
    <row r="57" spans="1:26" ht="12.75">
      <c r="A57" s="3">
        <f t="shared" si="21"/>
        <v>2.25</v>
      </c>
      <c r="B57" s="3">
        <f t="shared" si="13"/>
        <v>2.5</v>
      </c>
      <c r="C57">
        <v>157</v>
      </c>
      <c r="D57">
        <f t="shared" si="22"/>
        <v>1188</v>
      </c>
      <c r="E57" s="4">
        <f t="shared" si="14"/>
        <v>0.6804123711340206</v>
      </c>
      <c r="F57" s="4">
        <f t="shared" si="15"/>
        <v>0.31958762886597936</v>
      </c>
      <c r="G57" s="4">
        <f t="shared" si="16"/>
        <v>3.32862668882732</v>
      </c>
      <c r="H57" s="1">
        <f t="shared" si="17"/>
        <v>-0.9162907318741551</v>
      </c>
      <c r="I57" s="3">
        <f t="shared" si="18"/>
        <v>27.9</v>
      </c>
      <c r="J57">
        <f t="shared" si="19"/>
        <v>0.9543658865900394</v>
      </c>
      <c r="N57" s="4">
        <f t="shared" si="20"/>
        <v>1.1120217986526386</v>
      </c>
      <c r="V57">
        <v>0</v>
      </c>
      <c r="W57">
        <f>-LN(X57/$C$73)^(1/$N$52)</f>
        <v>4.676594243783638</v>
      </c>
      <c r="X57">
        <v>0.1</v>
      </c>
      <c r="Y57">
        <v>10</v>
      </c>
      <c r="Z57">
        <f>-LN(LN($C$73/($C$73-X57)))</f>
        <v>6.7713625446084205</v>
      </c>
    </row>
    <row r="58" spans="1:26" ht="12.75">
      <c r="A58" s="3">
        <f t="shared" si="21"/>
        <v>2.5</v>
      </c>
      <c r="B58" s="3">
        <f t="shared" si="13"/>
        <v>2.75</v>
      </c>
      <c r="C58">
        <v>148</v>
      </c>
      <c r="D58">
        <f t="shared" si="22"/>
        <v>1336</v>
      </c>
      <c r="E58" s="4">
        <f t="shared" si="14"/>
        <v>0.7651775486827033</v>
      </c>
      <c r="F58" s="4">
        <f t="shared" si="15"/>
        <v>0.23482245131729668</v>
      </c>
      <c r="G58" s="4">
        <f t="shared" si="16"/>
        <v>3.0204248861443626</v>
      </c>
      <c r="H58" s="1">
        <f t="shared" si="17"/>
        <v>-1.0116009116784799</v>
      </c>
      <c r="I58" s="3">
        <f t="shared" si="18"/>
        <v>20.5</v>
      </c>
      <c r="J58">
        <f t="shared" si="19"/>
        <v>1.3180849024896344</v>
      </c>
      <c r="N58" s="4">
        <f t="shared" si="20"/>
        <v>1.348577377109147</v>
      </c>
      <c r="V58">
        <v>0</v>
      </c>
      <c r="W58">
        <f>-LN(X58/$C$73)^(1/$N$52)</f>
        <v>5.9215917441729955</v>
      </c>
      <c r="X58">
        <v>0.01</v>
      </c>
      <c r="Y58">
        <v>100</v>
      </c>
      <c r="Z58">
        <f>-LN(LN($C$73/($C$73-X58)))</f>
        <v>9.07446337233157</v>
      </c>
    </row>
    <row r="59" spans="1:26" ht="12.75">
      <c r="A59" s="3">
        <f t="shared" si="21"/>
        <v>2.75</v>
      </c>
      <c r="B59" s="3">
        <f t="shared" si="13"/>
        <v>3</v>
      </c>
      <c r="C59">
        <v>111</v>
      </c>
      <c r="D59">
        <f t="shared" si="22"/>
        <v>1447</v>
      </c>
      <c r="E59" s="4">
        <f t="shared" si="14"/>
        <v>0.8287514318442154</v>
      </c>
      <c r="F59" s="4">
        <f t="shared" si="15"/>
        <v>0.17124856815578465</v>
      </c>
      <c r="G59" s="4">
        <f t="shared" si="16"/>
        <v>2.7047112998366956</v>
      </c>
      <c r="H59" s="1">
        <f t="shared" si="17"/>
        <v>-1.0986122886681098</v>
      </c>
      <c r="I59" s="3">
        <f t="shared" si="18"/>
        <v>14.95</v>
      </c>
      <c r="J59">
        <f t="shared" si="19"/>
        <v>1.6721913090918938</v>
      </c>
      <c r="N59" s="4">
        <f t="shared" si="20"/>
        <v>1.5809424438004722</v>
      </c>
      <c r="V59">
        <v>0</v>
      </c>
      <c r="W59">
        <f>-LN(X59/$C$73)^(1/$N$52)</f>
        <v>7.106218288455053</v>
      </c>
      <c r="X59">
        <v>0.001</v>
      </c>
      <c r="Y59">
        <v>1000</v>
      </c>
      <c r="Z59">
        <f>-LN(LN($C$73/($C$73-X59)))</f>
        <v>11.377100014421636</v>
      </c>
    </row>
    <row r="60" spans="1:26" ht="12.75">
      <c r="A60" s="3">
        <f t="shared" si="21"/>
        <v>3</v>
      </c>
      <c r="B60" s="3">
        <f t="shared" si="13"/>
        <v>3.25</v>
      </c>
      <c r="C60">
        <v>81</v>
      </c>
      <c r="D60">
        <f t="shared" si="22"/>
        <v>1528</v>
      </c>
      <c r="E60" s="4">
        <f t="shared" si="14"/>
        <v>0.8751431844215349</v>
      </c>
      <c r="F60" s="4">
        <f t="shared" si="15"/>
        <v>0.12485681557846506</v>
      </c>
      <c r="G60" s="4">
        <f t="shared" si="16"/>
        <v>2.388762789235098</v>
      </c>
      <c r="H60" s="1">
        <f t="shared" si="17"/>
        <v>-1.1786549963416462</v>
      </c>
      <c r="I60" s="3">
        <f t="shared" si="18"/>
        <v>10.9</v>
      </c>
      <c r="J60">
        <f t="shared" si="19"/>
        <v>2.0146448038349556</v>
      </c>
      <c r="N60" s="4">
        <f t="shared" si="20"/>
        <v>1.8055171998652044</v>
      </c>
      <c r="V60">
        <v>0</v>
      </c>
      <c r="W60">
        <f>-LN(X60/$C$73)^(1/$N$52)</f>
        <v>8.244997916747787</v>
      </c>
      <c r="X60">
        <v>0.0001</v>
      </c>
      <c r="Y60">
        <v>10000</v>
      </c>
      <c r="Z60">
        <f>-LN(LN($C$73/($C$73-X60)))</f>
        <v>13.679690262084193</v>
      </c>
    </row>
    <row r="61" spans="1:14" ht="12.75">
      <c r="A61" s="3">
        <f t="shared" si="21"/>
        <v>3.25</v>
      </c>
      <c r="B61" s="3">
        <f t="shared" si="13"/>
        <v>3.5</v>
      </c>
      <c r="C61">
        <v>63</v>
      </c>
      <c r="D61">
        <f t="shared" si="22"/>
        <v>1591</v>
      </c>
      <c r="E61" s="4">
        <f t="shared" si="14"/>
        <v>0.911225658648339</v>
      </c>
      <c r="F61" s="4">
        <f t="shared" si="15"/>
        <v>0.08877434135166094</v>
      </c>
      <c r="G61" s="4">
        <f t="shared" si="16"/>
        <v>2.0476928433652555</v>
      </c>
      <c r="H61" s="1">
        <f t="shared" si="17"/>
        <v>-1.252762968495368</v>
      </c>
      <c r="I61" s="3">
        <f t="shared" si="18"/>
        <v>7.75</v>
      </c>
      <c r="J61">
        <f t="shared" si="19"/>
        <v>2.3755353410577293</v>
      </c>
      <c r="N61" s="4">
        <f t="shared" si="20"/>
        <v>2.040649136943001</v>
      </c>
    </row>
    <row r="62" spans="1:14" ht="12.75">
      <c r="A62" s="3">
        <f t="shared" si="21"/>
        <v>3.5</v>
      </c>
      <c r="B62" s="3">
        <f t="shared" si="13"/>
        <v>3.75</v>
      </c>
      <c r="C62">
        <v>31</v>
      </c>
      <c r="D62">
        <f t="shared" si="22"/>
        <v>1622</v>
      </c>
      <c r="E62" s="4">
        <f t="shared" si="14"/>
        <v>0.9289805269186713</v>
      </c>
      <c r="F62" s="4">
        <f t="shared" si="15"/>
        <v>0.07101947308132875</v>
      </c>
      <c r="G62" s="4">
        <f t="shared" si="16"/>
        <v>1.8245492920510458</v>
      </c>
      <c r="H62" s="1">
        <f t="shared" si="17"/>
        <v>-1.3217558399823195</v>
      </c>
      <c r="I62" s="3">
        <f t="shared" si="18"/>
        <v>6.199999999999999</v>
      </c>
      <c r="J62">
        <f t="shared" si="19"/>
        <v>2.6081935305742623</v>
      </c>
      <c r="N62" s="4">
        <f t="shared" si="20"/>
        <v>2.1909856800982115</v>
      </c>
    </row>
    <row r="63" spans="1:14" ht="12.75">
      <c r="A63" s="3">
        <f t="shared" si="21"/>
        <v>3.75</v>
      </c>
      <c r="B63" s="3">
        <f t="shared" si="13"/>
        <v>4</v>
      </c>
      <c r="C63">
        <v>32</v>
      </c>
      <c r="D63">
        <f t="shared" si="22"/>
        <v>1654</v>
      </c>
      <c r="E63" s="4">
        <f t="shared" si="14"/>
        <v>0.9473081328751431</v>
      </c>
      <c r="F63" s="4">
        <f t="shared" si="15"/>
        <v>0.052691867124856816</v>
      </c>
      <c r="G63" s="4">
        <f t="shared" si="16"/>
        <v>1.5260563034950492</v>
      </c>
      <c r="H63" s="1">
        <f t="shared" si="17"/>
        <v>-1.3862943611198906</v>
      </c>
      <c r="I63" s="3">
        <f t="shared" si="18"/>
        <v>4.6</v>
      </c>
      <c r="J63">
        <f t="shared" si="19"/>
        <v>2.91635081554871</v>
      </c>
      <c r="N63" s="4">
        <f t="shared" si="20"/>
        <v>2.388315340827105</v>
      </c>
    </row>
    <row r="64" spans="1:14" ht="12.75">
      <c r="A64" s="3">
        <f t="shared" si="21"/>
        <v>4</v>
      </c>
      <c r="B64" s="3">
        <f t="shared" si="13"/>
        <v>4.25</v>
      </c>
      <c r="C64">
        <v>23</v>
      </c>
      <c r="D64">
        <f t="shared" si="22"/>
        <v>1677</v>
      </c>
      <c r="E64" s="4">
        <f t="shared" si="14"/>
        <v>0.9604810996563574</v>
      </c>
      <c r="F64" s="4">
        <f t="shared" si="15"/>
        <v>0.03951890034364261</v>
      </c>
      <c r="G64" s="4">
        <f t="shared" si="16"/>
        <v>1.2383742310432684</v>
      </c>
      <c r="H64" s="1">
        <f t="shared" si="17"/>
        <v>-1.4469189829363254</v>
      </c>
      <c r="I64" s="3">
        <f t="shared" si="18"/>
        <v>3.4499999999999997</v>
      </c>
      <c r="J64">
        <f t="shared" si="19"/>
        <v>3.210883484470995</v>
      </c>
      <c r="N64" s="4">
        <f t="shared" si="20"/>
        <v>2.5748565271032025</v>
      </c>
    </row>
    <row r="65" spans="1:14" ht="12.75">
      <c r="A65" s="3">
        <f t="shared" si="21"/>
        <v>4.25</v>
      </c>
      <c r="B65" s="3">
        <f t="shared" si="13"/>
        <v>4.5</v>
      </c>
      <c r="C65">
        <v>11</v>
      </c>
      <c r="D65">
        <f t="shared" si="22"/>
        <v>1688</v>
      </c>
      <c r="E65" s="4">
        <f t="shared" si="14"/>
        <v>0.9667812142038946</v>
      </c>
      <c r="F65" s="4">
        <f t="shared" si="15"/>
        <v>0.033218785796105384</v>
      </c>
      <c r="G65" s="4">
        <f t="shared" si="16"/>
        <v>1.0647107369924282</v>
      </c>
      <c r="H65" s="1">
        <f t="shared" si="17"/>
        <v>-1.5040773967762742</v>
      </c>
      <c r="I65" s="3">
        <f t="shared" si="18"/>
        <v>2.9</v>
      </c>
      <c r="J65">
        <f t="shared" si="19"/>
        <v>3.3877957487468278</v>
      </c>
      <c r="N65" s="4">
        <f t="shared" si="20"/>
        <v>2.685898811129643</v>
      </c>
    </row>
    <row r="66" spans="1:14" ht="12.75">
      <c r="A66" s="3">
        <f t="shared" si="21"/>
        <v>4.5</v>
      </c>
      <c r="B66" s="3">
        <f t="shared" si="13"/>
        <v>4.75</v>
      </c>
      <c r="C66">
        <v>20</v>
      </c>
      <c r="D66">
        <f t="shared" si="22"/>
        <v>1708</v>
      </c>
      <c r="E66" s="4">
        <f t="shared" si="14"/>
        <v>0.9782359679266895</v>
      </c>
      <c r="F66" s="4">
        <f t="shared" si="15"/>
        <v>0.021764032073310423</v>
      </c>
      <c r="G66" s="4">
        <f t="shared" si="16"/>
        <v>0.6418538861723947</v>
      </c>
      <c r="H66" s="1">
        <f t="shared" si="17"/>
        <v>-1.55814461804655</v>
      </c>
      <c r="I66" s="3">
        <f t="shared" si="18"/>
        <v>1.9</v>
      </c>
      <c r="J66">
        <f t="shared" si="19"/>
        <v>3.81651457023079</v>
      </c>
      <c r="N66" s="4">
        <f t="shared" si="20"/>
        <v>2.951838477147555</v>
      </c>
    </row>
    <row r="67" spans="1:14" ht="12.75">
      <c r="A67" s="3">
        <f t="shared" si="21"/>
        <v>4.75</v>
      </c>
      <c r="B67" s="3">
        <f t="shared" si="13"/>
        <v>5</v>
      </c>
      <c r="C67">
        <v>9</v>
      </c>
      <c r="D67">
        <f t="shared" si="22"/>
        <v>1717</v>
      </c>
      <c r="E67" s="4">
        <f t="shared" si="14"/>
        <v>0.9833906071019473</v>
      </c>
      <c r="F67" s="4">
        <f t="shared" si="15"/>
        <v>0.016609392898052692</v>
      </c>
      <c r="G67" s="4">
        <f t="shared" si="16"/>
        <v>0.371563556432483</v>
      </c>
      <c r="H67" s="1">
        <f t="shared" si="17"/>
        <v>-1.6094379124341003</v>
      </c>
      <c r="I67" s="3">
        <f t="shared" si="18"/>
        <v>1.45</v>
      </c>
      <c r="J67">
        <f t="shared" si="19"/>
        <v>4.089424157169319</v>
      </c>
      <c r="N67" s="4">
        <f t="shared" si="20"/>
        <v>3.1188280230756806</v>
      </c>
    </row>
    <row r="68" spans="1:14" ht="12.75">
      <c r="A68" s="3">
        <f t="shared" si="21"/>
        <v>5</v>
      </c>
      <c r="B68" s="3">
        <f t="shared" si="13"/>
        <v>5.25</v>
      </c>
      <c r="C68">
        <v>7</v>
      </c>
      <c r="D68">
        <f t="shared" si="22"/>
        <v>1724</v>
      </c>
      <c r="E68" s="4">
        <f t="shared" si="14"/>
        <v>0.9873997709049256</v>
      </c>
      <c r="F68" s="4">
        <f t="shared" si="15"/>
        <v>0.012600229095074456</v>
      </c>
      <c r="G68" s="4">
        <f t="shared" si="16"/>
        <v>0.09531017980432493</v>
      </c>
      <c r="H68" s="1">
        <f t="shared" si="17"/>
        <v>-1.6582280766035324</v>
      </c>
      <c r="I68" s="3">
        <f t="shared" si="18"/>
        <v>1.1</v>
      </c>
      <c r="J68">
        <f t="shared" si="19"/>
        <v>4.367706840012316</v>
      </c>
      <c r="N68" s="4">
        <f t="shared" si="20"/>
        <v>3.287312190926456</v>
      </c>
    </row>
    <row r="69" spans="1:14" ht="12.75">
      <c r="A69" s="3">
        <f t="shared" si="21"/>
        <v>5.25</v>
      </c>
      <c r="B69" s="3">
        <f t="shared" si="13"/>
        <v>5.5</v>
      </c>
      <c r="C69">
        <v>9</v>
      </c>
      <c r="D69">
        <f t="shared" si="22"/>
        <v>1733</v>
      </c>
      <c r="E69" s="4">
        <f t="shared" si="14"/>
        <v>0.9925544100801833</v>
      </c>
      <c r="F69" s="4">
        <f t="shared" si="15"/>
        <v>0.0074455899198167235</v>
      </c>
      <c r="G69" s="4">
        <f t="shared" si="16"/>
        <v>-0.4307829160924544</v>
      </c>
      <c r="H69" s="1">
        <f t="shared" si="17"/>
        <v>-1.7047480922384253</v>
      </c>
      <c r="I69" s="3">
        <f t="shared" si="18"/>
        <v>0.6499999999999999</v>
      </c>
      <c r="J69">
        <f t="shared" si="19"/>
        <v>4.896398982778511</v>
      </c>
      <c r="N69" s="4">
        <f t="shared" si="20"/>
        <v>3.6026267995170524</v>
      </c>
    </row>
    <row r="70" spans="1:14" ht="12.75">
      <c r="A70" s="3">
        <f t="shared" si="21"/>
        <v>5.5</v>
      </c>
      <c r="B70" s="3">
        <f t="shared" si="13"/>
        <v>5.75</v>
      </c>
      <c r="C70">
        <v>8</v>
      </c>
      <c r="D70">
        <f t="shared" si="22"/>
        <v>1741</v>
      </c>
      <c r="E70" s="4">
        <f t="shared" si="14"/>
        <v>0.9971363115693013</v>
      </c>
      <c r="F70" s="4">
        <f t="shared" si="15"/>
        <v>0.0028636884306987398</v>
      </c>
      <c r="G70" s="4">
        <f t="shared" si="16"/>
        <v>-1.3862943611198908</v>
      </c>
      <c r="H70" s="1">
        <f t="shared" si="17"/>
        <v>-1.749199854809259</v>
      </c>
      <c r="I70" s="3">
        <f t="shared" si="18"/>
        <v>0.24999999999999997</v>
      </c>
      <c r="J70">
        <f t="shared" si="19"/>
        <v>5.854211268327138</v>
      </c>
      <c r="N70" s="4">
        <f t="shared" si="20"/>
        <v>4.159219841933701</v>
      </c>
    </row>
    <row r="71" spans="1:14" ht="12.75">
      <c r="A71" s="3">
        <f t="shared" si="21"/>
        <v>5.75</v>
      </c>
      <c r="B71" s="3">
        <v>6</v>
      </c>
      <c r="C71">
        <v>5</v>
      </c>
      <c r="D71">
        <f t="shared" si="22"/>
        <v>1746</v>
      </c>
      <c r="E71">
        <f t="shared" si="14"/>
        <v>1</v>
      </c>
      <c r="F71">
        <f t="shared" si="15"/>
        <v>0</v>
      </c>
      <c r="G71" t="e">
        <f t="shared" si="16"/>
        <v>#NUM!</v>
      </c>
      <c r="H71" s="1">
        <f t="shared" si="17"/>
        <v>-1.791759469228055</v>
      </c>
      <c r="I71" s="3">
        <f t="shared" si="18"/>
        <v>0</v>
      </c>
      <c r="J71" t="e">
        <f t="shared" si="19"/>
        <v>#NUM!</v>
      </c>
      <c r="N71" s="4" t="e">
        <f t="shared" si="20"/>
        <v>#DIV/0!</v>
      </c>
    </row>
    <row r="72" spans="3:14" ht="12.75">
      <c r="C72">
        <f>SUM(C54:C71)</f>
        <v>1746</v>
      </c>
      <c r="N72" s="4"/>
    </row>
    <row r="73" spans="1:14" ht="12.75">
      <c r="A73">
        <v>20</v>
      </c>
      <c r="B73" t="s">
        <v>11</v>
      </c>
      <c r="C73">
        <f>C72/A73</f>
        <v>87.3</v>
      </c>
      <c r="N73" s="4">
        <f>SLOPE(N54:N70,B54:B70)</f>
        <v>0.8558562002498324</v>
      </c>
    </row>
    <row r="74" ht="12.75">
      <c r="N74" s="4">
        <f>INTERCEPT(N54:N70,B54:B70)</f>
        <v>-1.049061658114438</v>
      </c>
    </row>
    <row r="75" ht="12.75">
      <c r="N75" s="4">
        <f>CORREL(N54:N70,B54:B70)</f>
        <v>0.9952415016002125</v>
      </c>
    </row>
    <row r="76" spans="7:14" ht="12.75">
      <c r="G76">
        <v>-0.7849</v>
      </c>
      <c r="N76" s="4"/>
    </row>
    <row r="77" spans="7:14" ht="12.75">
      <c r="G77" s="3">
        <v>5.41</v>
      </c>
      <c r="I77" t="s">
        <v>14</v>
      </c>
      <c r="N77" s="4">
        <f>1/N73</f>
        <v>1.16842058246244</v>
      </c>
    </row>
    <row r="78" spans="9:14" ht="12.75">
      <c r="I78" t="s">
        <v>15</v>
      </c>
      <c r="N78" s="4">
        <f>-N74/N73</f>
        <v>1.225745233613085</v>
      </c>
    </row>
    <row r="79" spans="2:14" ht="12.75">
      <c r="B79" t="s">
        <v>16</v>
      </c>
      <c r="E79">
        <v>500</v>
      </c>
      <c r="G79">
        <f>G76*LN(1/E79)+G77</f>
        <v>10.287845896451579</v>
      </c>
      <c r="N79" s="4">
        <f>N78+N77*(LN(C73*E79))^(1/N52)</f>
        <v>9.118378734686281</v>
      </c>
    </row>
  </sheetData>
  <printOptions/>
  <pageMargins left="0.32" right="0.55" top="0.28" bottom="0.22" header="0.27" footer="0.2"/>
  <pageSetup horizontalDpi="300" verticalDpi="300" orientation="landscape" paperSize="9" scale="74" r:id="rId2"/>
  <rowBreaks count="1" manualBreakCount="1">
    <brk id="28" max="255" man="1"/>
  </rowBreaks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66" zoomScaleNormal="66" workbookViewId="0" topLeftCell="A1">
      <selection activeCell="G28" sqref="G28"/>
    </sheetView>
  </sheetViews>
  <sheetFormatPr defaultColWidth="9.140625" defaultRowHeight="12.75"/>
  <cols>
    <col min="2" max="2" width="9.7109375" style="0" bestFit="1" customWidth="1"/>
    <col min="3" max="3" width="13.28125" style="0" bestFit="1" customWidth="1"/>
    <col min="6" max="6" width="12.00390625" style="0" customWidth="1"/>
  </cols>
  <sheetData>
    <row r="1" spans="2:3" ht="12.75">
      <c r="B1" t="s">
        <v>12</v>
      </c>
      <c r="C1" s="8">
        <v>1.24</v>
      </c>
    </row>
    <row r="2" spans="2:3" ht="12.75">
      <c r="B2" t="s">
        <v>14</v>
      </c>
      <c r="C2" s="8">
        <v>1.17</v>
      </c>
    </row>
    <row r="3" spans="2:3" ht="12.75">
      <c r="B3" t="s">
        <v>15</v>
      </c>
      <c r="C3" s="8">
        <v>1.22</v>
      </c>
    </row>
    <row r="4" spans="2:4" ht="12.75">
      <c r="B4" t="s">
        <v>22</v>
      </c>
      <c r="C4" s="8">
        <v>87.3</v>
      </c>
      <c r="D4" t="s">
        <v>59</v>
      </c>
    </row>
    <row r="5" spans="2:4" ht="12.75">
      <c r="B5" t="s">
        <v>21</v>
      </c>
      <c r="C5" s="10">
        <v>0.2</v>
      </c>
      <c r="D5" t="s">
        <v>33</v>
      </c>
    </row>
    <row r="6" spans="2:4" ht="12.75">
      <c r="B6" t="s">
        <v>19</v>
      </c>
      <c r="C6" s="9">
        <v>50</v>
      </c>
      <c r="D6" t="s">
        <v>57</v>
      </c>
    </row>
    <row r="7" spans="2:4" ht="12.75">
      <c r="B7" t="s">
        <v>60</v>
      </c>
      <c r="C7" s="8">
        <v>1746</v>
      </c>
      <c r="D7" t="s">
        <v>58</v>
      </c>
    </row>
    <row r="9" spans="2:3" ht="12.75">
      <c r="B9" t="s">
        <v>35</v>
      </c>
      <c r="C9">
        <f>1-(1-1/C6)^C6</f>
        <v>0.6358303199128835</v>
      </c>
    </row>
    <row r="10" spans="1:3" ht="12.75">
      <c r="A10" t="s">
        <v>62</v>
      </c>
      <c r="B10" t="s">
        <v>61</v>
      </c>
      <c r="C10">
        <f>1-C9</f>
        <v>0.3641696800871165</v>
      </c>
    </row>
    <row r="13" spans="2:6" ht="12.75">
      <c r="B13" t="s">
        <v>32</v>
      </c>
      <c r="C13" s="7">
        <f>(1-(1-C5)^(1/C6))^-1</f>
        <v>224.5713777920232</v>
      </c>
      <c r="E13" t="s">
        <v>45</v>
      </c>
      <c r="F13" s="8">
        <v>0.026</v>
      </c>
    </row>
    <row r="14" spans="5:6" ht="12.75">
      <c r="E14" t="s">
        <v>26</v>
      </c>
      <c r="F14" s="8">
        <v>38</v>
      </c>
    </row>
    <row r="15" spans="2:7" ht="12.75">
      <c r="B15" t="s">
        <v>30</v>
      </c>
      <c r="C15" s="3">
        <f>(-LN(1-EXP(LN(C10)/C4/C6)))^(1/C1)</f>
        <v>5.548712373698791</v>
      </c>
      <c r="E15" t="s">
        <v>27</v>
      </c>
      <c r="F15" s="8">
        <v>0.05</v>
      </c>
      <c r="G15" t="s">
        <v>63</v>
      </c>
    </row>
    <row r="16" spans="2:3" ht="12.75">
      <c r="B16" t="s">
        <v>31</v>
      </c>
      <c r="C16" s="3">
        <f>(-LN(1-EXP(LN(C10)/C4/(3*C6))))^(1/C1)</f>
        <v>6.128818997227835</v>
      </c>
    </row>
    <row r="17" spans="2:3" ht="12.75">
      <c r="B17" t="s">
        <v>32</v>
      </c>
      <c r="C17" s="3">
        <f>(-LN(1-EXP(LN(C10)/C4/(C13))))^(1/C1)</f>
        <v>6.338585195364353</v>
      </c>
    </row>
    <row r="18" ht="12.75">
      <c r="B18" s="1"/>
    </row>
    <row r="19" spans="2:3" ht="12.75">
      <c r="B19" t="s">
        <v>20</v>
      </c>
      <c r="C19" s="3">
        <f>C3+C2*C15</f>
        <v>7.711993477227585</v>
      </c>
    </row>
    <row r="20" spans="2:3" ht="12.75">
      <c r="B20" t="s">
        <v>23</v>
      </c>
      <c r="C20" s="3">
        <f>C3+C2*C16</f>
        <v>8.390718226756567</v>
      </c>
    </row>
    <row r="21" spans="2:3" ht="12.75">
      <c r="B21" t="s">
        <v>29</v>
      </c>
      <c r="C21" s="3">
        <f>C3+C2*C17</f>
        <v>8.636144678576294</v>
      </c>
    </row>
    <row r="24" spans="1:4" ht="12.75">
      <c r="A24" t="s">
        <v>24</v>
      </c>
      <c r="C24" s="5">
        <f>0.05/SQRT(C5*C7)</f>
        <v>0.002675672079449731</v>
      </c>
      <c r="D24" s="6">
        <f>C24/C29</f>
        <v>0.0023694238333236152</v>
      </c>
    </row>
    <row r="25" spans="1:4" ht="12.75">
      <c r="A25" t="s">
        <v>25</v>
      </c>
      <c r="C25" s="5">
        <f>1+(C20/C19-1)*F14*C5</f>
        <v>1.6688683168174363</v>
      </c>
      <c r="D25" s="6"/>
    </row>
    <row r="26" spans="1:4" ht="12.75">
      <c r="A26" t="s">
        <v>28</v>
      </c>
      <c r="C26" s="5">
        <f>F15^C25</f>
        <v>0.006741433595799861</v>
      </c>
      <c r="D26" s="6">
        <f>C26/C29</f>
        <v>0.005969832235922469</v>
      </c>
    </row>
    <row r="27" spans="1:8" ht="12.75">
      <c r="A27" t="s">
        <v>34</v>
      </c>
      <c r="C27" s="5">
        <f>C21/C19</f>
        <v>1.119832985346473</v>
      </c>
      <c r="D27" s="6">
        <f>C27/C29</f>
        <v>0.9916607439307541</v>
      </c>
      <c r="F27" t="s">
        <v>49</v>
      </c>
      <c r="G27" s="8">
        <v>9.5</v>
      </c>
      <c r="H27" t="s">
        <v>52</v>
      </c>
    </row>
    <row r="28" spans="6:8" ht="12.75">
      <c r="F28" t="s">
        <v>50</v>
      </c>
      <c r="G28" s="8">
        <v>6.6</v>
      </c>
      <c r="H28" t="s">
        <v>51</v>
      </c>
    </row>
    <row r="29" spans="2:8" ht="12.75">
      <c r="B29" t="s">
        <v>44</v>
      </c>
      <c r="C29" s="3">
        <f>C27+C26+C24</f>
        <v>1.1292500910217225</v>
      </c>
      <c r="F29" t="s">
        <v>53</v>
      </c>
      <c r="G29" s="7">
        <f>1.56*G27^2</f>
        <v>140.79</v>
      </c>
      <c r="H29" t="s">
        <v>48</v>
      </c>
    </row>
    <row r="30" spans="2:7" ht="12.75">
      <c r="B30" t="s">
        <v>46</v>
      </c>
      <c r="C30" s="3">
        <f>1-F13*LN(C5)</f>
        <v>1.0418453857232866</v>
      </c>
      <c r="F30" t="s">
        <v>56</v>
      </c>
      <c r="G30" s="8">
        <v>2800</v>
      </c>
    </row>
    <row r="32" ht="12.75">
      <c r="A32" t="s">
        <v>36</v>
      </c>
    </row>
    <row r="33" spans="1:3" ht="12.75">
      <c r="A33" t="s">
        <v>37</v>
      </c>
      <c r="B33" s="8">
        <v>1</v>
      </c>
      <c r="C33" t="s">
        <v>41</v>
      </c>
    </row>
    <row r="34" spans="1:3" ht="12.75">
      <c r="A34" t="s">
        <v>38</v>
      </c>
      <c r="B34" s="11">
        <f>G28*3600/14</f>
        <v>1697.142857142857</v>
      </c>
      <c r="C34" t="s">
        <v>42</v>
      </c>
    </row>
    <row r="35" spans="1:3" ht="12.75">
      <c r="A35" t="s">
        <v>39</v>
      </c>
      <c r="B35" s="12">
        <f>C19/G29</f>
        <v>0.05477657132770499</v>
      </c>
      <c r="C35" t="s">
        <v>43</v>
      </c>
    </row>
    <row r="36" spans="1:3" ht="12.75">
      <c r="A36" t="s">
        <v>40</v>
      </c>
      <c r="B36" s="13">
        <f>(G30-1020)/1020</f>
        <v>1.7450980392156863</v>
      </c>
      <c r="C36" t="s">
        <v>55</v>
      </c>
    </row>
    <row r="38" spans="1:3" ht="12.75">
      <c r="A38" t="s">
        <v>47</v>
      </c>
      <c r="B38" s="3">
        <f>C29*C19/((6.7*B33^0.4/B34^0.3+1)/C30*B35^(-0.1)*B36)</f>
        <v>2.2612249417453834</v>
      </c>
      <c r="C38" t="s">
        <v>48</v>
      </c>
    </row>
    <row r="39" spans="2:3" ht="12.75">
      <c r="B39" s="7">
        <f>B38^3*1020*(1+B36)/1000</f>
        <v>32.37347599495526</v>
      </c>
      <c r="C39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H.J. Verhagen</dc:creator>
  <cp:keywords/>
  <dc:description/>
  <cp:lastModifiedBy>Henk Jan Verhagen</cp:lastModifiedBy>
  <cp:lastPrinted>2002-03-11T18:25:51Z</cp:lastPrinted>
  <dcterms:created xsi:type="dcterms:W3CDTF">2002-03-06T21:54:32Z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