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431" windowWidth="10920" windowHeight="9015" activeTab="0"/>
  </bookViews>
  <sheets>
    <sheet name="simple Brayton Cycle" sheetId="1" r:id="rId1"/>
    <sheet name="T-s diagr. data" sheetId="2" r:id="rId2"/>
    <sheet name="Cp=Cp(T)" sheetId="3" r:id="rId3"/>
  </sheets>
  <definedNames>
    <definedName name="c_p_1" localSheetId="0">'simple Brayton Cycle'!$F$33</definedName>
    <definedName name="c_p_1">#REF!</definedName>
    <definedName name="c_p_2_is" localSheetId="0">'simple Brayton Cycle'!$F$34</definedName>
    <definedName name="c_p_2_is">#REF!</definedName>
    <definedName name="c_p_3" localSheetId="0">'simple Brayton Cycle'!$F$52</definedName>
    <definedName name="c_p_3">#REF!</definedName>
    <definedName name="c_p_4_is" localSheetId="0">'simple Brayton Cycle'!$F$53</definedName>
    <definedName name="c_p_4_is">#REF!</definedName>
    <definedName name="c_p_AV_compression" localSheetId="0">'simple Brayton Cycle'!$F$37</definedName>
    <definedName name="c_p_AV_compression">#REF!</definedName>
    <definedName name="c_p_av_expansion" localSheetId="0">'simple Brayton Cycle'!$F$56</definedName>
    <definedName name="c_p_av_expansion">#REF!</definedName>
    <definedName name="eta_Carnot" localSheetId="0">'simple Brayton Cycle'!$C$75</definedName>
    <definedName name="eta_Carnot">#REF!</definedName>
    <definedName name="eta_I" localSheetId="0">'simple Brayton Cycle'!$C$73</definedName>
    <definedName name="eta_I">#REF!</definedName>
    <definedName name="eta_I_GM" localSheetId="0">'simple Brayton Cycle'!$D$73</definedName>
    <definedName name="eta_I_GM">#REF!</definedName>
    <definedName name="eta_is_comp" localSheetId="0">'simple Brayton Cycle'!$C$28</definedName>
    <definedName name="eta_is_comp">#REF!</definedName>
    <definedName name="eta_is_turb" localSheetId="0">'simple Brayton Cycle'!$C$29</definedName>
    <definedName name="eta_is_turb">#REF!</definedName>
    <definedName name="Fluid" localSheetId="0">'simple Brayton Cycle'!$A$10</definedName>
    <definedName name="Fluid">#REF!</definedName>
    <definedName name="gamma" localSheetId="0">'simple Brayton Cycle'!$B$13</definedName>
    <definedName name="gamma">#REF!</definedName>
    <definedName name="h_1" localSheetId="0">'simple Brayton Cycle'!$E$33</definedName>
    <definedName name="h_1">#REF!</definedName>
    <definedName name="h_2" localSheetId="0">'simple Brayton Cycle'!$E$43</definedName>
    <definedName name="h_2">#REF!</definedName>
    <definedName name="h_2_GM" localSheetId="0">'simple Brayton Cycle'!$E$44</definedName>
    <definedName name="h_2_GM">#REF!</definedName>
    <definedName name="h_2_is" localSheetId="0">'simple Brayton Cycle'!$E$34</definedName>
    <definedName name="h_2_is">#REF!</definedName>
    <definedName name="h_2_is_GM" localSheetId="0">'simple Brayton Cycle'!$E$35</definedName>
    <definedName name="h_2_is_GM">#REF!</definedName>
    <definedName name="h_3" localSheetId="0">'simple Brayton Cycle'!$E$52</definedName>
    <definedName name="h_3">#REF!</definedName>
    <definedName name="h_4" localSheetId="0">'simple Brayton Cycle'!$E$62</definedName>
    <definedName name="h_4">#REF!</definedName>
    <definedName name="h_4_GM" localSheetId="0">'simple Brayton Cycle'!$E$63</definedName>
    <definedName name="h_4_GM">#REF!</definedName>
    <definedName name="h_4_is" localSheetId="0">'simple Brayton Cycle'!$E$53</definedName>
    <definedName name="h_4_is">#REF!</definedName>
    <definedName name="h_4_is_GM" localSheetId="0">'simple Brayton Cycle'!$E$54</definedName>
    <definedName name="h_4_is_GM">#REF!</definedName>
    <definedName name="is_work_comp" localSheetId="0">'simple Brayton Cycle'!$C$40</definedName>
    <definedName name="is_work_comp">#REF!</definedName>
    <definedName name="is_work_comp_GM" localSheetId="0">'simple Brayton Cycle'!$D$40</definedName>
    <definedName name="is_work_comp_GM">#REF!</definedName>
    <definedName name="is_work_turb" localSheetId="0">'simple Brayton Cycle'!$C$59</definedName>
    <definedName name="is_work_turb">#REF!</definedName>
    <definedName name="is_work_turb_GM" localSheetId="0">'simple Brayton Cycle'!$D$59</definedName>
    <definedName name="is_work_turb_GM">#REF!</definedName>
    <definedName name="p_1" localSheetId="0">'simple Brayton Cycle'!$B$33</definedName>
    <definedName name="p_1">#REF!</definedName>
    <definedName name="p_2" localSheetId="0">'simple Brayton Cycle'!$B$43</definedName>
    <definedName name="p_2">#REF!</definedName>
    <definedName name="p_2_GM" localSheetId="0">'simple Brayton Cycle'!$B$44</definedName>
    <definedName name="p_2_GM">#REF!</definedName>
    <definedName name="p_2_is" localSheetId="0">'simple Brayton Cycle'!$B$34</definedName>
    <definedName name="p_2_is">#REF!</definedName>
    <definedName name="p_2_is_GM" localSheetId="0">'simple Brayton Cycle'!$B$35</definedName>
    <definedName name="p_2_is_GM">#REF!</definedName>
    <definedName name="p_3" localSheetId="0">'simple Brayton Cycle'!$B$52</definedName>
    <definedName name="p_3">#REF!</definedName>
    <definedName name="p_4" localSheetId="0">'simple Brayton Cycle'!$B$62</definedName>
    <definedName name="p_4">#REF!</definedName>
    <definedName name="p_4_GM" localSheetId="0">'simple Brayton Cycle'!$B$63</definedName>
    <definedName name="p_4_GM">#REF!</definedName>
    <definedName name="p_4_is" localSheetId="0">'simple Brayton Cycle'!$B$53</definedName>
    <definedName name="p_4_is">#REF!</definedName>
    <definedName name="p_4_is_GM" localSheetId="0">'simple Brayton Cycle'!$B$54</definedName>
    <definedName name="p_4_is_GM">#REF!</definedName>
    <definedName name="p_in_comp" localSheetId="0">'simple Brayton Cycle'!$C$18</definedName>
    <definedName name="p_in_comp">#REF!</definedName>
    <definedName name="p_out_comp" localSheetId="0">'simple Brayton Cycle'!$C$21</definedName>
    <definedName name="p_out_comp">#REF!</definedName>
    <definedName name="p_out_turb" localSheetId="0">'simple Brayton Cycle'!$C$25</definedName>
    <definedName name="p_out_turb">#REF!</definedName>
    <definedName name="Q_in" localSheetId="0">'simple Brayton Cycle'!$C$48</definedName>
    <definedName name="Q_in">#REF!</definedName>
    <definedName name="Q_in_GM" localSheetId="0">'simple Brayton Cycle'!$D$48</definedName>
    <definedName name="Q_in_GM">#REF!</definedName>
    <definedName name="Q_out" localSheetId="0">'simple Brayton Cycle'!$C$67</definedName>
    <definedName name="Q_out">#REF!</definedName>
    <definedName name="Q_out_GM" localSheetId="0">'simple Brayton Cycle'!$D$67</definedName>
    <definedName name="Q_out_GM">#REF!</definedName>
    <definedName name="real_work_comp" localSheetId="0">'simple Brayton Cycle'!$C$41</definedName>
    <definedName name="real_work_comp">#REF!</definedName>
    <definedName name="real_work_comp_GM" localSheetId="0">'simple Brayton Cycle'!$D$41</definedName>
    <definedName name="real_work_comp_GM">#REF!</definedName>
    <definedName name="real_work_turb" localSheetId="0">'simple Brayton Cycle'!$C$60</definedName>
    <definedName name="real_work_turb">#REF!</definedName>
    <definedName name="real_work_turb_GM" localSheetId="0">'simple Brayton Cycle'!$D$60</definedName>
    <definedName name="real_work_turb_GM">#REF!</definedName>
    <definedName name="s_1" localSheetId="0">'simple Brayton Cycle'!$D$33</definedName>
    <definedName name="s_1">#REF!</definedName>
    <definedName name="s_2" localSheetId="0">'simple Brayton Cycle'!$D$43</definedName>
    <definedName name="s_2">#REF!</definedName>
    <definedName name="s_2_GM" localSheetId="0">'simple Brayton Cycle'!$D$44</definedName>
    <definedName name="s_2_GM">#REF!</definedName>
    <definedName name="s_2_is" localSheetId="0">'simple Brayton Cycle'!$D$34</definedName>
    <definedName name="s_2_is">#REF!</definedName>
    <definedName name="s_2_is_GM" localSheetId="0">'simple Brayton Cycle'!$D$35</definedName>
    <definedName name="s_2_is_GM">#REF!</definedName>
    <definedName name="s_3" localSheetId="0">'simple Brayton Cycle'!$D$52</definedName>
    <definedName name="s_3">#REF!</definedName>
    <definedName name="s_4" localSheetId="0">'simple Brayton Cycle'!$D$62</definedName>
    <definedName name="s_4">#REF!</definedName>
    <definedName name="s_4_GM" localSheetId="0">'simple Brayton Cycle'!$D$63</definedName>
    <definedName name="s_4_GM">#REF!</definedName>
    <definedName name="s_4_is" localSheetId="0">'simple Brayton Cycle'!$D$53</definedName>
    <definedName name="s_4_is">#REF!</definedName>
    <definedName name="s_4_is_GM" localSheetId="0">'simple Brayton Cycle'!$D$54</definedName>
    <definedName name="s_4_is_GM">#REF!</definedName>
    <definedName name="T_1" localSheetId="0">'simple Brayton Cycle'!$C$33</definedName>
    <definedName name="T_1">#REF!</definedName>
    <definedName name="T_2" localSheetId="0">'simple Brayton Cycle'!$C$43</definedName>
    <definedName name="T_2">#REF!</definedName>
    <definedName name="T_2_GM" localSheetId="0">'simple Brayton Cycle'!$C$44</definedName>
    <definedName name="T_2_GM">#REF!</definedName>
    <definedName name="T_2_is" localSheetId="0">'simple Brayton Cycle'!$C$34</definedName>
    <definedName name="T_2_is">#REF!</definedName>
    <definedName name="T_2_is_GM" localSheetId="0">'simple Brayton Cycle'!$C$35</definedName>
    <definedName name="T_2_is_GM">#REF!</definedName>
    <definedName name="T_3" localSheetId="0">'simple Brayton Cycle'!$C$52</definedName>
    <definedName name="T_3">#REF!</definedName>
    <definedName name="T_4" localSheetId="0">'simple Brayton Cycle'!$C$62</definedName>
    <definedName name="T_4">#REF!</definedName>
    <definedName name="T_4_GM" localSheetId="0">'simple Brayton Cycle'!$C$63</definedName>
    <definedName name="T_4_GM">#REF!</definedName>
    <definedName name="T_4_is" localSheetId="0">'simple Brayton Cycle'!$C$53</definedName>
    <definedName name="T_4_is">#REF!</definedName>
    <definedName name="T_4_is_GM" localSheetId="0">'simple Brayton Cycle'!$C$54</definedName>
    <definedName name="T_4_is_GM">#REF!</definedName>
    <definedName name="T_in_comp" localSheetId="0">'simple Brayton Cycle'!$C$19</definedName>
    <definedName name="T_in_comp">#REF!</definedName>
    <definedName name="T_in_turb" localSheetId="0">'simple Brayton Cycle'!$C$23</definedName>
    <definedName name="T_in_turb">#REF!</definedName>
    <definedName name="w_net">'simple Brayton Cycle'!$C$71</definedName>
    <definedName name="w_net_GM" localSheetId="0">'simple Brayton Cycle'!$D$71</definedName>
    <definedName name="w_net_GM">#REF!</definedName>
  </definedNames>
  <calcPr fullCalcOnLoad="1"/>
</workbook>
</file>

<file path=xl/comments1.xml><?xml version="1.0" encoding="utf-8"?>
<comments xmlns="http://schemas.openxmlformats.org/spreadsheetml/2006/main">
  <authors>
    <author>Emiliano Casati - 3ME</author>
  </authors>
  <commentList>
    <comment ref="A35" authorId="0">
      <text>
        <r>
          <rPr>
            <sz val="9"/>
            <rFont val="Tahoma"/>
            <family val="2"/>
          </rPr>
          <t xml:space="preserve">No assumptions on gamma, all quantities evaluated with GasMix
</t>
        </r>
      </text>
    </comment>
    <comment ref="E37" authorId="0">
      <text>
        <r>
          <rPr>
            <sz val="9"/>
            <rFont val="Tahoma"/>
            <family val="2"/>
          </rPr>
          <t>Average value for the c_p during the compression. A linear approximation is employed (see sheet Cp = Cp(T)</t>
        </r>
      </text>
    </comment>
    <comment ref="D39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A44" authorId="0">
      <text>
        <r>
          <rPr>
            <sz val="9"/>
            <rFont val="Tahoma"/>
            <family val="2"/>
          </rPr>
          <t xml:space="preserve">No assumptions on gamma, all quantities evaluated with GasMix
</t>
        </r>
      </text>
    </comment>
    <comment ref="D47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E56" authorId="0">
      <text>
        <r>
          <rPr>
            <sz val="9"/>
            <rFont val="Tahoma"/>
            <family val="2"/>
          </rPr>
          <t xml:space="preserve">Average value for the c_p during the compression. A linear approximation is employed (see sheet Cp = Cp(T)
</t>
        </r>
      </text>
    </comment>
    <comment ref="D58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D66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D70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</commentList>
</comments>
</file>

<file path=xl/sharedStrings.xml><?xml version="1.0" encoding="utf-8"?>
<sst xmlns="http://schemas.openxmlformats.org/spreadsheetml/2006/main" count="124" uniqueCount="76">
  <si>
    <t>Analysis of a simple Brayton Cycle</t>
  </si>
  <si>
    <t>Fluid</t>
  </si>
  <si>
    <t>Thermodynamic model</t>
  </si>
  <si>
    <t>air</t>
  </si>
  <si>
    <t>O2</t>
  </si>
  <si>
    <t>N2</t>
  </si>
  <si>
    <t>Ar</t>
  </si>
  <si>
    <t>composition</t>
  </si>
  <si>
    <t>T</t>
  </si>
  <si>
    <t>s</t>
  </si>
  <si>
    <t>DESIGN DATA</t>
  </si>
  <si>
    <t>State 1:</t>
  </si>
  <si>
    <t>State 2:</t>
  </si>
  <si>
    <t>State 3:</t>
  </si>
  <si>
    <t>State 4:</t>
  </si>
  <si>
    <t>Isentropic efficiencies</t>
  </si>
  <si>
    <t>Turbine:</t>
  </si>
  <si>
    <t>Compressor:</t>
  </si>
  <si>
    <t>state</t>
  </si>
  <si>
    <t>p [bar]</t>
  </si>
  <si>
    <t>2_is</t>
  </si>
  <si>
    <t>4_is</t>
  </si>
  <si>
    <t>Isobaric curves</t>
  </si>
  <si>
    <t>real compression</t>
  </si>
  <si>
    <t>dT/ds</t>
  </si>
  <si>
    <t xml:space="preserve">Isobaric heating </t>
  </si>
  <si>
    <t xml:space="preserve">isobaric cooling </t>
  </si>
  <si>
    <t>eta_I</t>
  </si>
  <si>
    <t>eta_carnot</t>
  </si>
  <si>
    <t>eta_II</t>
  </si>
  <si>
    <t>T [K]</t>
  </si>
  <si>
    <t>p_in_comp [bar]</t>
  </si>
  <si>
    <t>T_in_comp [K]</t>
  </si>
  <si>
    <t>p_out_comp [bar]</t>
  </si>
  <si>
    <t>Compressor inlet</t>
  </si>
  <si>
    <t>Compressor outlet</t>
  </si>
  <si>
    <t>T_in_turb [K]</t>
  </si>
  <si>
    <t>Turbine inlet</t>
  </si>
  <si>
    <t>Turbine outlet</t>
  </si>
  <si>
    <t>p_out_turb [bar]</t>
  </si>
  <si>
    <t>GM</t>
  </si>
  <si>
    <t>2_GM</t>
  </si>
  <si>
    <t>4_is_GM</t>
  </si>
  <si>
    <t>4_GM</t>
  </si>
  <si>
    <t>real expansion</t>
  </si>
  <si>
    <t>Main assumption: gamma=const.</t>
  </si>
  <si>
    <t>w_net [kJ/kg]</t>
  </si>
  <si>
    <t>P [bar]</t>
  </si>
  <si>
    <t>s [kJ/kg/K]</t>
  </si>
  <si>
    <t>s [kJ/kgK]</t>
  </si>
  <si>
    <r>
      <t>T</t>
    </r>
    <r>
      <rPr>
        <vertAlign val="subscript"/>
        <sz val="11"/>
        <color indexed="8"/>
        <rFont val="Calibri"/>
        <family val="2"/>
      </rPr>
      <t>amb</t>
    </r>
    <r>
      <rPr>
        <sz val="11"/>
        <color indexed="8"/>
        <rFont val="Calibri"/>
        <family val="2"/>
      </rPr>
      <t xml:space="preserve"> [°C] = </t>
    </r>
  </si>
  <si>
    <r>
      <t>P</t>
    </r>
    <r>
      <rPr>
        <vertAlign val="subscript"/>
        <sz val="11"/>
        <color indexed="8"/>
        <rFont val="Calibri"/>
        <family val="2"/>
      </rPr>
      <t>min</t>
    </r>
    <r>
      <rPr>
        <sz val="11"/>
        <color indexed="8"/>
        <rFont val="Calibri"/>
        <family val="2"/>
      </rPr>
      <t xml:space="preserve"> [bar] = </t>
    </r>
  </si>
  <si>
    <r>
      <t>P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[bar] = </t>
    </r>
  </si>
  <si>
    <t>isentropic expansion</t>
  </si>
  <si>
    <t>isentropic compression</t>
  </si>
  <si>
    <t>P</t>
  </si>
  <si>
    <t>h [kJ/kg]</t>
  </si>
  <si>
    <t>c_p [kJ/kg/K]</t>
  </si>
  <si>
    <t>Q_in [kJ/kg]</t>
  </si>
  <si>
    <t>W_t_is [kJ/kg]</t>
  </si>
  <si>
    <t>W_t_real [kJ/kg]</t>
  </si>
  <si>
    <t>Q_out [kJ/kg]</t>
  </si>
  <si>
    <t>Compressor (state 1 ==&gt; 2)</t>
  </si>
  <si>
    <t>Isobaric heating (state 2 ==&gt; 3)</t>
  </si>
  <si>
    <t>Turbine (state 3 ==&gt; 4)</t>
  </si>
  <si>
    <r>
      <t>g</t>
    </r>
    <r>
      <rPr>
        <b/>
        <sz val="10"/>
        <color indexed="8"/>
        <rFont val="Arial"/>
        <family val="2"/>
      </rPr>
      <t xml:space="preserve"> = const</t>
    </r>
  </si>
  <si>
    <t>c_p [kJ/kgK]</t>
  </si>
  <si>
    <t>g</t>
  </si>
  <si>
    <r>
      <t>η</t>
    </r>
    <r>
      <rPr>
        <vertAlign val="subscript"/>
        <sz val="10"/>
        <color indexed="8"/>
        <rFont val="Arial"/>
        <family val="2"/>
      </rPr>
      <t>is_comp</t>
    </r>
    <r>
      <rPr>
        <sz val="10"/>
        <color indexed="8"/>
        <rFont val="Arial"/>
        <family val="2"/>
      </rPr>
      <t xml:space="preserve"> = </t>
    </r>
  </si>
  <si>
    <r>
      <t>η</t>
    </r>
    <r>
      <rPr>
        <vertAlign val="subscript"/>
        <sz val="10"/>
        <color indexed="8"/>
        <rFont val="Arial"/>
        <family val="2"/>
      </rPr>
      <t>is_turb</t>
    </r>
    <r>
      <rPr>
        <sz val="10"/>
        <color indexed="8"/>
        <rFont val="Arial"/>
        <family val="2"/>
      </rPr>
      <t xml:space="preserve"> = </t>
    </r>
  </si>
  <si>
    <t>2_is_GM</t>
  </si>
  <si>
    <t>Isobaric cooling (state 4 ==&gt; 1)</t>
  </si>
  <si>
    <t>c_p_AVG [kJ/kgK]</t>
  </si>
  <si>
    <t>w_c_is [kJ/kg]</t>
  </si>
  <si>
    <t>w_c_real [kJ/kg]</t>
  </si>
  <si>
    <r>
      <t>GM = FluidProp GasMix model =&gt; ideal gas equation of state (Pv = RT) with C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=C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(T)</t>
    </r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</si>
</sst>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0.00000000"/>
    <numFmt numFmtId="185" formatCode="0.000000000"/>
    <numFmt numFmtId="186" formatCode="0.0000000000"/>
    <numFmt numFmtId="187" formatCode="0.000000000000"/>
    <numFmt numFmtId="188" formatCode="0.00000000000"/>
  </numFmts>
  <fonts count="44"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Symbol"/>
      <family val="1"/>
    </font>
    <font>
      <vertAlign val="sub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2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6" fillId="23" borderId="0" xfId="0" applyFont="1" applyFill="1" applyAlignment="1">
      <alignment/>
    </xf>
    <xf numFmtId="0" fontId="6" fillId="23" borderId="0" xfId="0" applyFont="1" applyFill="1" applyAlignment="1">
      <alignment horizontal="center"/>
    </xf>
    <xf numFmtId="179" fontId="6" fillId="23" borderId="0" xfId="0" applyNumberFormat="1" applyFont="1" applyFill="1" applyAlignment="1">
      <alignment horizontal="center"/>
    </xf>
    <xf numFmtId="181" fontId="6" fillId="23" borderId="0" xfId="0" applyNumberFormat="1" applyFont="1" applyFill="1" applyAlignment="1">
      <alignment horizontal="center"/>
    </xf>
    <xf numFmtId="0" fontId="5" fillId="23" borderId="0" xfId="0" applyFont="1" applyFill="1" applyAlignment="1">
      <alignment/>
    </xf>
    <xf numFmtId="0" fontId="5" fillId="23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2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180" fontId="6" fillId="4" borderId="0" xfId="0" applyNumberFormat="1" applyFont="1" applyFill="1" applyBorder="1" applyAlignment="1">
      <alignment horizontal="center"/>
    </xf>
    <xf numFmtId="181" fontId="6" fillId="4" borderId="0" xfId="0" applyNumberFormat="1" applyFont="1" applyFill="1" applyBorder="1" applyAlignment="1">
      <alignment horizontal="center"/>
    </xf>
    <xf numFmtId="179" fontId="6" fillId="4" borderId="0" xfId="0" applyNumberFormat="1" applyFont="1" applyFill="1" applyBorder="1" applyAlignment="1">
      <alignment horizontal="center"/>
    </xf>
    <xf numFmtId="181" fontId="5" fillId="4" borderId="0" xfId="0" applyNumberFormat="1" applyFont="1" applyFill="1" applyBorder="1" applyAlignment="1">
      <alignment horizontal="center"/>
    </xf>
    <xf numFmtId="181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9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2" fontId="6" fillId="7" borderId="12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180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180" fontId="6" fillId="7" borderId="15" xfId="0" applyNumberFormat="1" applyFont="1" applyFill="1" applyBorder="1" applyAlignment="1">
      <alignment horizontal="center"/>
    </xf>
    <xf numFmtId="0" fontId="5" fillId="7" borderId="16" xfId="0" applyFont="1" applyFill="1" applyBorder="1" applyAlignment="1">
      <alignment/>
    </xf>
    <xf numFmtId="180" fontId="6" fillId="7" borderId="17" xfId="0" applyNumberFormat="1" applyFont="1" applyFill="1" applyBorder="1" applyAlignment="1">
      <alignment horizontal="center"/>
    </xf>
    <xf numFmtId="180" fontId="6" fillId="7" borderId="18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2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T-s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chart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475"/>
          <c:w val="0.943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v>P_atm 1.013 bar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data'!$C$8:$C$758</c:f>
              <c:numCache>
                <c:ptCount val="751"/>
                <c:pt idx="0">
                  <c:v>6.682048377830171</c:v>
                </c:pt>
                <c:pt idx="1">
                  <c:v>6.690042336573702</c:v>
                </c:pt>
                <c:pt idx="2">
                  <c:v>6.6979729957822896</c:v>
                </c:pt>
                <c:pt idx="3">
                  <c:v>6.705841383490495</c:v>
                </c:pt>
                <c:pt idx="4">
                  <c:v>6.713648503556578</c:v>
                </c:pt>
                <c:pt idx="5">
                  <c:v>6.721395336409499</c:v>
                </c:pt>
                <c:pt idx="6">
                  <c:v>6.729082839767318</c:v>
                </c:pt>
                <c:pt idx="7">
                  <c:v>6.736711949328258</c:v>
                </c:pt>
                <c:pt idx="8">
                  <c:v>6.744283579435715</c:v>
                </c:pt>
                <c:pt idx="9">
                  <c:v>6.75179862371833</c:v>
                </c:pt>
                <c:pt idx="10">
                  <c:v>6.759257955706303</c:v>
                </c:pt>
                <c:pt idx="11">
                  <c:v>6.7666624294249225</c:v>
                </c:pt>
                <c:pt idx="12">
                  <c:v>6.774012879966386</c:v>
                </c:pt>
                <c:pt idx="13">
                  <c:v>6.781310124040816</c:v>
                </c:pt>
                <c:pt idx="14">
                  <c:v>6.788554960507373</c:v>
                </c:pt>
                <c:pt idx="15">
                  <c:v>6.795748170886352</c:v>
                </c:pt>
                <c:pt idx="16">
                  <c:v>6.802890519853032</c:v>
                </c:pt>
                <c:pt idx="17">
                  <c:v>6.809982755714097</c:v>
                </c:pt>
                <c:pt idx="18">
                  <c:v>6.817025610867316</c:v>
                </c:pt>
                <c:pt idx="19">
                  <c:v>6.82401980224523</c:v>
                </c:pt>
                <c:pt idx="20">
                  <c:v>6.830966031743474</c:v>
                </c:pt>
                <c:pt idx="21">
                  <c:v>6.837864986634366</c:v>
                </c:pt>
                <c:pt idx="22">
                  <c:v>6.8447173399664125</c:v>
                </c:pt>
                <c:pt idx="23">
                  <c:v>6.851523750950247</c:v>
                </c:pt>
                <c:pt idx="24">
                  <c:v>6.858284865331574</c:v>
                </c:pt>
                <c:pt idx="25">
                  <c:v>6.86500131575165</c:v>
                </c:pt>
                <c:pt idx="26">
                  <c:v>6.8716737220957915</c:v>
                </c:pt>
                <c:pt idx="27">
                  <c:v>6.878302691830351</c:v>
                </c:pt>
                <c:pt idx="28">
                  <c:v>6.884888820328691</c:v>
                </c:pt>
                <c:pt idx="29">
                  <c:v>6.891432691186499</c:v>
                </c:pt>
                <c:pt idx="30">
                  <c:v>6.897934876526922</c:v>
                </c:pt>
                <c:pt idx="31">
                  <c:v>6.904395937295875</c:v>
                </c:pt>
                <c:pt idx="32">
                  <c:v>6.910816423547918</c:v>
                </c:pt>
                <c:pt idx="33">
                  <c:v>6.9171968747230785</c:v>
                </c:pt>
                <c:pt idx="34">
                  <c:v>6.923537819914903</c:v>
                </c:pt>
                <c:pt idx="35">
                  <c:v>6.9298397781301295</c:v>
                </c:pt>
                <c:pt idx="36">
                  <c:v>6.936103258540274</c:v>
                </c:pt>
                <c:pt idx="37">
                  <c:v>6.942328760725416</c:v>
                </c:pt>
                <c:pt idx="38">
                  <c:v>6.948516774910481</c:v>
                </c:pt>
                <c:pt idx="39">
                  <c:v>6.954667782194312</c:v>
                </c:pt>
                <c:pt idx="40">
                  <c:v>6.960782254771759</c:v>
                </c:pt>
                <c:pt idx="41">
                  <c:v>6.966860656149082</c:v>
                </c:pt>
                <c:pt idx="42">
                  <c:v>6.972903441352862</c:v>
                </c:pt>
                <c:pt idx="43">
                  <c:v>6.978911057132683</c:v>
                </c:pt>
                <c:pt idx="44">
                  <c:v>6.9848839421578175</c:v>
                </c:pt>
                <c:pt idx="45">
                  <c:v>6.990822527208076</c:v>
                </c:pt>
                <c:pt idx="46">
                  <c:v>6.996727235359094</c:v>
                </c:pt>
                <c:pt idx="47">
                  <c:v>7.002598482162192</c:v>
                </c:pt>
                <c:pt idx="48">
                  <c:v>7.008436675819038</c:v>
                </c:pt>
                <c:pt idx="49">
                  <c:v>7.014242217351263</c:v>
                </c:pt>
                <c:pt idx="50">
                  <c:v>7.020015500765226</c:v>
                </c:pt>
                <c:pt idx="51">
                  <c:v>7.025756913212089</c:v>
                </c:pt>
                <c:pt idx="52">
                  <c:v>7.0314668351433465</c:v>
                </c:pt>
                <c:pt idx="53">
                  <c:v>7.037145640461963</c:v>
                </c:pt>
                <c:pt idx="54">
                  <c:v>7.042793696669316</c:v>
                </c:pt>
                <c:pt idx="55">
                  <c:v>7.048411365008004</c:v>
                </c:pt>
                <c:pt idx="56">
                  <c:v>7.0539990006007285</c:v>
                </c:pt>
                <c:pt idx="57">
                  <c:v>7.059556952585319</c:v>
                </c:pt>
                <c:pt idx="58">
                  <c:v>7.065085564246098</c:v>
                </c:pt>
                <c:pt idx="59">
                  <c:v>7.070585173141635</c:v>
                </c:pt>
                <c:pt idx="60">
                  <c:v>7.076056111229043</c:v>
                </c:pt>
                <c:pt idx="61">
                  <c:v>7.081498704984945</c:v>
                </c:pt>
                <c:pt idx="62">
                  <c:v>7.086913275523173</c:v>
                </c:pt>
                <c:pt idx="63">
                  <c:v>7.092300138709338</c:v>
                </c:pt>
                <c:pt idx="64">
                  <c:v>7.097659605272363</c:v>
                </c:pt>
                <c:pt idx="65">
                  <c:v>7.102991980913078</c:v>
                </c:pt>
                <c:pt idx="66">
                  <c:v>7.108297566409943</c:v>
                </c:pt>
                <c:pt idx="67">
                  <c:v>7.1135766577220405</c:v>
                </c:pt>
                <c:pt idx="68">
                  <c:v>7.118829546089367</c:v>
                </c:pt>
                <c:pt idx="69">
                  <c:v>7.124056518130553</c:v>
                </c:pt>
                <c:pt idx="70">
                  <c:v>7.129257855938055</c:v>
                </c:pt>
                <c:pt idx="71">
                  <c:v>7.134433837170914</c:v>
                </c:pt>
                <c:pt idx="72">
                  <c:v>7.139584735145183</c:v>
                </c:pt>
                <c:pt idx="73">
                  <c:v>7.144710818922011</c:v>
                </c:pt>
                <c:pt idx="74">
                  <c:v>7.14981235339356</c:v>
                </c:pt>
                <c:pt idx="75">
                  <c:v>7.1548895993667365</c:v>
                </c:pt>
                <c:pt idx="76">
                  <c:v>7.159942813644854</c:v>
                </c:pt>
                <c:pt idx="77">
                  <c:v>7.164972249107253</c:v>
                </c:pt>
                <c:pt idx="78">
                  <c:v>7.169978154786966</c:v>
                </c:pt>
                <c:pt idx="79">
                  <c:v>7.174960775946475</c:v>
                </c:pt>
                <c:pt idx="80">
                  <c:v>7.179920354151605</c:v>
                </c:pt>
                <c:pt idx="81">
                  <c:v>7.184857127343639</c:v>
                </c:pt>
                <c:pt idx="82">
                  <c:v>7.189771329909658</c:v>
                </c:pt>
                <c:pt idx="83">
                  <c:v>7.194663192751221</c:v>
                </c:pt>
                <c:pt idx="84">
                  <c:v>7.199532943351371</c:v>
                </c:pt>
                <c:pt idx="85">
                  <c:v>7.204380805840051</c:v>
                </c:pt>
                <c:pt idx="86">
                  <c:v>7.209207001057972</c:v>
                </c:pt>
                <c:pt idx="87">
                  <c:v>7.21401174661896</c:v>
                </c:pt>
                <c:pt idx="88">
                  <c:v>7.21879525697084</c:v>
                </c:pt>
                <c:pt idx="89">
                  <c:v>7.223557743454902</c:v>
                </c:pt>
                <c:pt idx="90">
                  <c:v>7.22829941436397</c:v>
                </c:pt>
                <c:pt idx="91">
                  <c:v>7.2330204749991305</c:v>
                </c:pt>
                <c:pt idx="92">
                  <c:v>7.237721127725142</c:v>
                </c:pt>
                <c:pt idx="93">
                  <c:v>7.242401572024589</c:v>
                </c:pt>
                <c:pt idx="94">
                  <c:v>7.247062004550769</c:v>
                </c:pt>
                <c:pt idx="95">
                  <c:v>7.251702619179406</c:v>
                </c:pt>
                <c:pt idx="96">
                  <c:v>7.256323607059168</c:v>
                </c:pt>
                <c:pt idx="97">
                  <c:v>7.260925156661052</c:v>
                </c:pt>
                <c:pt idx="98">
                  <c:v>7.265507453826662</c:v>
                </c:pt>
                <c:pt idx="99">
                  <c:v>7.2700706818153975</c:v>
                </c:pt>
                <c:pt idx="100">
                  <c:v>7.274615021350614</c:v>
                </c:pt>
                <c:pt idx="101">
                  <c:v>7.279140650664724</c:v>
                </c:pt>
                <c:pt idx="102">
                  <c:v>7.283647745543332</c:v>
                </c:pt>
                <c:pt idx="103">
                  <c:v>7.288136479368392</c:v>
                </c:pt>
                <c:pt idx="104">
                  <c:v>7.292607023160412</c:v>
                </c:pt>
                <c:pt idx="105">
                  <c:v>7.297059545619753</c:v>
                </c:pt>
                <c:pt idx="106">
                  <c:v>7.301494213167013</c:v>
                </c:pt>
                <c:pt idx="107">
                  <c:v>7.305911189982562</c:v>
                </c:pt>
                <c:pt idx="108">
                  <c:v>7.310310638045207</c:v>
                </c:pt>
                <c:pt idx="109">
                  <c:v>7.31469271717004</c:v>
                </c:pt>
                <c:pt idx="110">
                  <c:v>7.319057585045477</c:v>
                </c:pt>
                <c:pt idx="111">
                  <c:v>7.323405397269507</c:v>
                </c:pt>
                <c:pt idx="112">
                  <c:v>7.3277363073851784</c:v>
                </c:pt>
                <c:pt idx="113">
                  <c:v>7.332050466915337</c:v>
                </c:pt>
                <c:pt idx="114">
                  <c:v>7.336348025396638</c:v>
                </c:pt>
                <c:pt idx="115">
                  <c:v>7.340629130412842</c:v>
                </c:pt>
                <c:pt idx="116">
                  <c:v>7.344893927627423</c:v>
                </c:pt>
                <c:pt idx="117">
                  <c:v>7.349142560815509</c:v>
                </c:pt>
                <c:pt idx="118">
                  <c:v>7.35337517189514</c:v>
                </c:pt>
                <c:pt idx="119">
                  <c:v>7.357591900957913</c:v>
                </c:pt>
                <c:pt idx="120">
                  <c:v>7.361792886298985</c:v>
                </c:pt>
                <c:pt idx="121">
                  <c:v>7.365978264446465</c:v>
                </c:pt>
                <c:pt idx="122">
                  <c:v>7.3701481701902125</c:v>
                </c:pt>
                <c:pt idx="123">
                  <c:v>7.37430273661005</c:v>
                </c:pt>
                <c:pt idx="124">
                  <c:v>7.3784420951034235</c:v>
                </c:pt>
                <c:pt idx="125">
                  <c:v>7.382566375412483</c:v>
                </c:pt>
                <c:pt idx="126">
                  <c:v>7.386675705650642</c:v>
                </c:pt>
                <c:pt idx="127">
                  <c:v>7.39077021232861</c:v>
                </c:pt>
                <c:pt idx="128">
                  <c:v>7.394850020379887</c:v>
                </c:pt>
                <c:pt idx="129">
                  <c:v>7.398915253185784</c:v>
                </c:pt>
                <c:pt idx="130">
                  <c:v>7.402966032599938</c:v>
                </c:pt>
                <c:pt idx="131">
                  <c:v>7.407002478972341</c:v>
                </c:pt>
                <c:pt idx="132">
                  <c:v>7.411024711172912</c:v>
                </c:pt>
                <c:pt idx="133">
                  <c:v>7.415032846614608</c:v>
                </c:pt>
                <c:pt idx="134">
                  <c:v>7.419027001276081</c:v>
                </c:pt>
                <c:pt idx="135">
                  <c:v>7.423007289723915</c:v>
                </c:pt>
                <c:pt idx="136">
                  <c:v>7.426973825134415</c:v>
                </c:pt>
                <c:pt idx="137">
                  <c:v>7.4309267193149955</c:v>
                </c:pt>
                <c:pt idx="138">
                  <c:v>7.434866082725155</c:v>
                </c:pt>
                <c:pt idx="139">
                  <c:v>7.438792024497054</c:v>
                </c:pt>
                <c:pt idx="140">
                  <c:v>7.442704652455698</c:v>
                </c:pt>
                <c:pt idx="141">
                  <c:v>7.44660407313876</c:v>
                </c:pt>
                <c:pt idx="142">
                  <c:v>7.450490391815996</c:v>
                </c:pt>
                <c:pt idx="143">
                  <c:v>7.454363712508339</c:v>
                </c:pt>
                <c:pt idx="144">
                  <c:v>7.4582241380066066</c:v>
                </c:pt>
                <c:pt idx="145">
                  <c:v>7.462071769889873</c:v>
                </c:pt>
                <c:pt idx="146">
                  <c:v>7.465906708543496</c:v>
                </c:pt>
                <c:pt idx="147">
                  <c:v>7.469729053176832</c:v>
                </c:pt>
                <c:pt idx="148">
                  <c:v>7.473538901840593</c:v>
                </c:pt>
                <c:pt idx="149">
                  <c:v>7.477336351443911</c:v>
                </c:pt>
                <c:pt idx="150">
                  <c:v>7.481121497771079</c:v>
                </c:pt>
                <c:pt idx="151">
                  <c:v>7.4848944354980125</c:v>
                </c:pt>
                <c:pt idx="152">
                  <c:v>7.488655258208362</c:v>
                </c:pt>
                <c:pt idx="153">
                  <c:v>7.492404058409394</c:v>
                </c:pt>
                <c:pt idx="154">
                  <c:v>7.496140927547555</c:v>
                </c:pt>
                <c:pt idx="155">
                  <c:v>7.499865956023745</c:v>
                </c:pt>
                <c:pt idx="156">
                  <c:v>7.503579233208365</c:v>
                </c:pt>
                <c:pt idx="157">
                  <c:v>7.507280847456042</c:v>
                </c:pt>
                <c:pt idx="158">
                  <c:v>7.510970886120133</c:v>
                </c:pt>
                <c:pt idx="159">
                  <c:v>7.514649435566963</c:v>
                </c:pt>
                <c:pt idx="160">
                  <c:v>7.5183165811897945</c:v>
                </c:pt>
                <c:pt idx="161">
                  <c:v>7.521972407422583</c:v>
                </c:pt>
                <c:pt idx="162">
                  <c:v>7.52561699775347</c:v>
                </c:pt>
                <c:pt idx="163">
                  <c:v>7.529250434738047</c:v>
                </c:pt>
                <c:pt idx="164">
                  <c:v>7.532872800012392</c:v>
                </c:pt>
                <c:pt idx="165">
                  <c:v>7.536484174305886</c:v>
                </c:pt>
                <c:pt idx="166">
                  <c:v>7.540084637453793</c:v>
                </c:pt>
                <c:pt idx="167">
                  <c:v>7.543674268409636</c:v>
                </c:pt>
                <c:pt idx="168">
                  <c:v>7.547253145257365</c:v>
                </c:pt>
                <c:pt idx="169">
                  <c:v>7.5508213452233095</c:v>
                </c:pt>
                <c:pt idx="170">
                  <c:v>7.554378944687924</c:v>
                </c:pt>
                <c:pt idx="171">
                  <c:v>7.557926019197353</c:v>
                </c:pt>
                <c:pt idx="172">
                  <c:v>7.561462643474777</c:v>
                </c:pt>
                <c:pt idx="173">
                  <c:v>7.564988891431585</c:v>
                </c:pt>
                <c:pt idx="174">
                  <c:v>7.568504836178366</c:v>
                </c:pt>
                <c:pt idx="175">
                  <c:v>7.5720105500356825</c:v>
                </c:pt>
                <c:pt idx="176">
                  <c:v>7.575506104544712</c:v>
                </c:pt>
                <c:pt idx="177">
                  <c:v>7.578991570477673</c:v>
                </c:pt>
                <c:pt idx="178">
                  <c:v>7.5824670178480975</c:v>
                </c:pt>
                <c:pt idx="179">
                  <c:v>7.585932515920938</c:v>
                </c:pt>
                <c:pt idx="180">
                  <c:v>7.589388133222486</c:v>
                </c:pt>
                <c:pt idx="181">
                  <c:v>7.592833937550156</c:v>
                </c:pt>
                <c:pt idx="182">
                  <c:v>7.596269995982101</c:v>
                </c:pt>
                <c:pt idx="183">
                  <c:v>7.599696374886649</c:v>
                </c:pt>
                <c:pt idx="184">
                  <c:v>7.6031131399316205</c:v>
                </c:pt>
                <c:pt idx="185">
                  <c:v>7.606520356093482</c:v>
                </c:pt>
                <c:pt idx="186">
                  <c:v>7.6099180876663395</c:v>
                </c:pt>
                <c:pt idx="187">
                  <c:v>7.613306398270804</c:v>
                </c:pt>
                <c:pt idx="188">
                  <c:v>7.616685350862714</c:v>
                </c:pt>
                <c:pt idx="189">
                  <c:v>7.620055007741713</c:v>
                </c:pt>
                <c:pt idx="190">
                  <c:v>7.623415430559683</c:v>
                </c:pt>
                <c:pt idx="191">
                  <c:v>7.626766680329065</c:v>
                </c:pt>
                <c:pt idx="192">
                  <c:v>7.630108817431031</c:v>
                </c:pt>
                <c:pt idx="193">
                  <c:v>7.6334419016235415</c:v>
                </c:pt>
                <c:pt idx="194">
                  <c:v>7.636765992049251</c:v>
                </c:pt>
                <c:pt idx="195">
                  <c:v>7.6400811472433245</c:v>
                </c:pt>
                <c:pt idx="196">
                  <c:v>7.643387425141103</c:v>
                </c:pt>
                <c:pt idx="197">
                  <c:v>7.64668488308567</c:v>
                </c:pt>
                <c:pt idx="198">
                  <c:v>7.64997357783528</c:v>
                </c:pt>
                <c:pt idx="199">
                  <c:v>7.653253565570697</c:v>
                </c:pt>
                <c:pt idx="200">
                  <c:v>7.656524901902398</c:v>
                </c:pt>
                <c:pt idx="201">
                  <c:v>7.659787641877683</c:v>
                </c:pt>
                <c:pt idx="202">
                  <c:v>7.663041839987652</c:v>
                </c:pt>
                <c:pt idx="203">
                  <c:v>7.666287550174112</c:v>
                </c:pt>
                <c:pt idx="204">
                  <c:v>7.669524825836345</c:v>
                </c:pt>
                <c:pt idx="205">
                  <c:v>7.6727537198377895</c:v>
                </c:pt>
                <c:pt idx="206">
                  <c:v>7.675974284512622</c:v>
                </c:pt>
                <c:pt idx="207">
                  <c:v>7.6791865716722265</c:v>
                </c:pt>
                <c:pt idx="208">
                  <c:v>7.682390632611586</c:v>
                </c:pt>
                <c:pt idx="209">
                  <c:v>7.6855865181155565</c:v>
                </c:pt>
                <c:pt idx="210">
                  <c:v>7.688774278465071</c:v>
                </c:pt>
                <c:pt idx="211">
                  <c:v>7.691953963443225</c:v>
                </c:pt>
                <c:pt idx="212">
                  <c:v>7.6951256223412985</c:v>
                </c:pt>
                <c:pt idx="213">
                  <c:v>7.6982893039646605</c:v>
                </c:pt>
                <c:pt idx="214">
                  <c:v>7.7014450566386135</c:v>
                </c:pt>
                <c:pt idx="215">
                  <c:v>7.704592928214133</c:v>
                </c:pt>
                <c:pt idx="216">
                  <c:v>7.707732966073535</c:v>
                </c:pt>
                <c:pt idx="217">
                  <c:v>7.710865217136043</c:v>
                </c:pt>
                <c:pt idx="218">
                  <c:v>7.713989727863302</c:v>
                </c:pt>
                <c:pt idx="219">
                  <c:v>7.717106544264778</c:v>
                </c:pt>
                <c:pt idx="220">
                  <c:v>7.720215711903112</c:v>
                </c:pt>
                <c:pt idx="221">
                  <c:v>7.7233172758993724</c:v>
                </c:pt>
                <c:pt idx="222">
                  <c:v>7.726411280938241</c:v>
                </c:pt>
                <c:pt idx="223">
                  <c:v>7.729497771273128</c:v>
                </c:pt>
                <c:pt idx="224">
                  <c:v>7.732576790731204</c:v>
                </c:pt>
                <c:pt idx="225">
                  <c:v>7.735648382718377</c:v>
                </c:pt>
                <c:pt idx="226">
                  <c:v>7.73871259022417</c:v>
                </c:pt>
                <c:pt idx="227">
                  <c:v>7.741769455826559</c:v>
                </c:pt>
                <c:pt idx="228">
                  <c:v>7.74481902169672</c:v>
                </c:pt>
                <c:pt idx="229">
                  <c:v>7.747861329603734</c:v>
                </c:pt>
                <c:pt idx="230">
                  <c:v>7.75089642091919</c:v>
                </c:pt>
                <c:pt idx="231">
                  <c:v>7.753924336621757</c:v>
                </c:pt>
                <c:pt idx="232">
                  <c:v>7.756945117301675</c:v>
                </c:pt>
                <c:pt idx="233">
                  <c:v>7.759958803165183</c:v>
                </c:pt>
                <c:pt idx="234">
                  <c:v>7.762965434038892</c:v>
                </c:pt>
                <c:pt idx="235">
                  <c:v>7.765965049374096</c:v>
                </c:pt>
                <c:pt idx="236">
                  <c:v>7.768957688251013</c:v>
                </c:pt>
                <c:pt idx="237">
                  <c:v>7.771943389382978</c:v>
                </c:pt>
                <c:pt idx="238">
                  <c:v>7.774922191120587</c:v>
                </c:pt>
                <c:pt idx="239">
                  <c:v>7.777894131455754</c:v>
                </c:pt>
                <c:pt idx="240">
                  <c:v>7.7808592480257435</c:v>
                </c:pt>
                <c:pt idx="241">
                  <c:v>7.783817578117133</c:v>
                </c:pt>
                <c:pt idx="242">
                  <c:v>7.786769158669716</c:v>
                </c:pt>
                <c:pt idx="243">
                  <c:v>7.7897140262803735</c:v>
                </c:pt>
                <c:pt idx="244">
                  <c:v>7.792652217206864</c:v>
                </c:pt>
                <c:pt idx="245">
                  <c:v>7.795583767371589</c:v>
                </c:pt>
                <c:pt idx="246">
                  <c:v>7.798508712365289</c:v>
                </c:pt>
                <c:pt idx="247">
                  <c:v>7.801427087450699</c:v>
                </c:pt>
                <c:pt idx="248">
                  <c:v>7.804338927566149</c:v>
                </c:pt>
                <c:pt idx="249">
                  <c:v>7.8072442673291285</c:v>
                </c:pt>
                <c:pt idx="250">
                  <c:v>7.810143141039787</c:v>
                </c:pt>
                <c:pt idx="251">
                  <c:v>7.813035582684396</c:v>
                </c:pt>
                <c:pt idx="252">
                  <c:v>7.81592162593877</c:v>
                </c:pt>
                <c:pt idx="253">
                  <c:v>7.818801304171629</c:v>
                </c:pt>
                <c:pt idx="254">
                  <c:v>7.821674650447931</c:v>
                </c:pt>
                <c:pt idx="255">
                  <c:v>7.824541697532157</c:v>
                </c:pt>
                <c:pt idx="256">
                  <c:v>7.827402477891535</c:v>
                </c:pt>
                <c:pt idx="257">
                  <c:v>7.830257023699253</c:v>
                </c:pt>
                <c:pt idx="258">
                  <c:v>7.833105366837606</c:v>
                </c:pt>
                <c:pt idx="259">
                  <c:v>7.835947538901109</c:v>
                </c:pt>
                <c:pt idx="260">
                  <c:v>7.838783571199573</c:v>
                </c:pt>
                <c:pt idx="261">
                  <c:v>7.841613494761136</c:v>
                </c:pt>
                <c:pt idx="262">
                  <c:v>7.844437340335256</c:v>
                </c:pt>
                <c:pt idx="263">
                  <c:v>7.847255138395674</c:v>
                </c:pt>
                <c:pt idx="264">
                  <c:v>7.850066919143318</c:v>
                </c:pt>
                <c:pt idx="265">
                  <c:v>7.852872712509198</c:v>
                </c:pt>
                <c:pt idx="266">
                  <c:v>7.855672548157234</c:v>
                </c:pt>
                <c:pt idx="267">
                  <c:v>7.8584664554870765</c:v>
                </c:pt>
                <c:pt idx="268">
                  <c:v>7.861254463636863</c:v>
                </c:pt>
                <c:pt idx="269">
                  <c:v>7.86403660148597</c:v>
                </c:pt>
                <c:pt idx="270">
                  <c:v>7.866812897657704</c:v>
                </c:pt>
                <c:pt idx="271">
                  <c:v>7.869583380521964</c:v>
                </c:pt>
                <c:pt idx="272">
                  <c:v>7.872348078197888</c:v>
                </c:pt>
                <c:pt idx="273">
                  <c:v>7.875107018556439</c:v>
                </c:pt>
                <c:pt idx="274">
                  <c:v>7.877860229222987</c:v>
                </c:pt>
                <c:pt idx="275">
                  <c:v>7.880607737579832</c:v>
                </c:pt>
                <c:pt idx="276">
                  <c:v>7.883349570768717</c:v>
                </c:pt>
                <c:pt idx="277">
                  <c:v>7.886085755693289</c:v>
                </c:pt>
                <c:pt idx="278">
                  <c:v>7.88881631902155</c:v>
                </c:pt>
                <c:pt idx="279">
                  <c:v>7.891541287188276</c:v>
                </c:pt>
                <c:pt idx="280">
                  <c:v>7.894260686397377</c:v>
                </c:pt>
                <c:pt idx="281">
                  <c:v>7.896974542624271</c:v>
                </c:pt>
                <c:pt idx="282">
                  <c:v>7.899682881618187</c:v>
                </c:pt>
                <c:pt idx="283">
                  <c:v>7.902385728904484</c:v>
                </c:pt>
                <c:pt idx="284">
                  <c:v>7.905083109786895</c:v>
                </c:pt>
                <c:pt idx="285">
                  <c:v>7.907775049349786</c:v>
                </c:pt>
                <c:pt idx="286">
                  <c:v>7.910461572460345</c:v>
                </c:pt>
                <c:pt idx="287">
                  <c:v>7.913142703770793</c:v>
                </c:pt>
                <c:pt idx="288">
                  <c:v>7.915818467720522</c:v>
                </c:pt>
                <c:pt idx="289">
                  <c:v>7.918488888538237</c:v>
                </c:pt>
                <c:pt idx="290">
                  <c:v>7.921153990244065</c:v>
                </c:pt>
                <c:pt idx="291">
                  <c:v>7.923813796651622</c:v>
                </c:pt>
                <c:pt idx="292">
                  <c:v>7.926468331370094</c:v>
                </c:pt>
                <c:pt idx="293">
                  <c:v>7.929117617806238</c:v>
                </c:pt>
                <c:pt idx="294">
                  <c:v>7.931761679166423</c:v>
                </c:pt>
                <c:pt idx="295">
                  <c:v>7.934400538458581</c:v>
                </c:pt>
                <c:pt idx="296">
                  <c:v>7.937034218494193</c:v>
                </c:pt>
                <c:pt idx="297">
                  <c:v>7.939662741890211</c:v>
                </c:pt>
                <c:pt idx="298">
                  <c:v>7.942286131070976</c:v>
                </c:pt>
                <c:pt idx="299">
                  <c:v>7.944904408270108</c:v>
                </c:pt>
                <c:pt idx="300">
                  <c:v>7.947517595532382</c:v>
                </c:pt>
                <c:pt idx="301">
                  <c:v>7.950125714715559</c:v>
                </c:pt>
                <c:pt idx="302">
                  <c:v>7.952728787492232</c:v>
                </c:pt>
                <c:pt idx="303">
                  <c:v>7.955326835351611</c:v>
                </c:pt>
                <c:pt idx="304">
                  <c:v>7.957919879601322</c:v>
                </c:pt>
                <c:pt idx="305">
                  <c:v>7.960507941369151</c:v>
                </c:pt>
                <c:pt idx="306">
                  <c:v>7.963091041604808</c:v>
                </c:pt>
                <c:pt idx="307">
                  <c:v>7.965669201081628</c:v>
                </c:pt>
                <c:pt idx="308">
                  <c:v>7.968242440398283</c:v>
                </c:pt>
                <c:pt idx="309">
                  <c:v>7.970810779980467</c:v>
                </c:pt>
                <c:pt idx="310">
                  <c:v>7.9733742400825465</c:v>
                </c:pt>
                <c:pt idx="311">
                  <c:v>7.975932840789218</c:v>
                </c:pt>
                <c:pt idx="312">
                  <c:v>7.978486602017123</c:v>
                </c:pt>
                <c:pt idx="313">
                  <c:v>7.981035543516455</c:v>
                </c:pt>
                <c:pt idx="314">
                  <c:v>7.983579684872556</c:v>
                </c:pt>
                <c:pt idx="315">
                  <c:v>7.98611904550747</c:v>
                </c:pt>
                <c:pt idx="316">
                  <c:v>7.988653644681519</c:v>
                </c:pt>
                <c:pt idx="317">
                  <c:v>7.991183501494809</c:v>
                </c:pt>
                <c:pt idx="318">
                  <c:v>7.993708634888769</c:v>
                </c:pt>
                <c:pt idx="319">
                  <c:v>7.996229063647643</c:v>
                </c:pt>
                <c:pt idx="320">
                  <c:v>7.998744806399969</c:v>
                </c:pt>
                <c:pt idx="321">
                  <c:v>8.001255881620056</c:v>
                </c:pt>
                <c:pt idx="322">
                  <c:v>8.00376230762942</c:v>
                </c:pt>
                <c:pt idx="323">
                  <c:v>8.006264102598234</c:v>
                </c:pt>
                <c:pt idx="324">
                  <c:v>8.008761284546729</c:v>
                </c:pt>
                <c:pt idx="325">
                  <c:v>8.01125387134661</c:v>
                </c:pt>
                <c:pt idx="326">
                  <c:v>8.013741880722433</c:v>
                </c:pt>
                <c:pt idx="327">
                  <c:v>8.016225330252984</c:v>
                </c:pt>
                <c:pt idx="328">
                  <c:v>8.01870423737263</c:v>
                </c:pt>
                <c:pt idx="329">
                  <c:v>8.021178619372654</c:v>
                </c:pt>
                <c:pt idx="330">
                  <c:v>8.023648493402597</c:v>
                </c:pt>
                <c:pt idx="331">
                  <c:v>8.026113876471557</c:v>
                </c:pt>
                <c:pt idx="332">
                  <c:v>8.028574785449496</c:v>
                </c:pt>
                <c:pt idx="333">
                  <c:v>8.031031237068506</c:v>
                </c:pt>
                <c:pt idx="334">
                  <c:v>8.033483247924096</c:v>
                </c:pt>
                <c:pt idx="335">
                  <c:v>8.035930834476442</c:v>
                </c:pt>
                <c:pt idx="336">
                  <c:v>8.038374013051627</c:v>
                </c:pt>
                <c:pt idx="337">
                  <c:v>8.040812799842872</c:v>
                </c:pt>
                <c:pt idx="338">
                  <c:v>8.04324721091174</c:v>
                </c:pt>
                <c:pt idx="339">
                  <c:v>8.04567726218936</c:v>
                </c:pt>
                <c:pt idx="340">
                  <c:v>8.048102969477588</c:v>
                </c:pt>
                <c:pt idx="341">
                  <c:v>8.05052434845021</c:v>
                </c:pt>
                <c:pt idx="342">
                  <c:v>8.052941414654095</c:v>
                </c:pt>
                <c:pt idx="343">
                  <c:v>8.055354183510328</c:v>
                </c:pt>
                <c:pt idx="344">
                  <c:v>8.057762670315388</c:v>
                </c:pt>
                <c:pt idx="345">
                  <c:v>8.060166890242234</c:v>
                </c:pt>
                <c:pt idx="346">
                  <c:v>8.062566858341446</c:v>
                </c:pt>
                <c:pt idx="347">
                  <c:v>8.06496258954232</c:v>
                </c:pt>
                <c:pt idx="348">
                  <c:v>8.06735409865396</c:v>
                </c:pt>
                <c:pt idx="349">
                  <c:v>8.06974140036635</c:v>
                </c:pt>
                <c:pt idx="350">
                  <c:v>8.072124509251442</c:v>
                </c:pt>
                <c:pt idx="351">
                  <c:v>8.074503439764184</c:v>
                </c:pt>
                <c:pt idx="352">
                  <c:v>8.076878206243599</c:v>
                </c:pt>
                <c:pt idx="353">
                  <c:v>8.079248822913787</c:v>
                </c:pt>
                <c:pt idx="354">
                  <c:v>8.081615303884984</c:v>
                </c:pt>
                <c:pt idx="355">
                  <c:v>8.08397766315454</c:v>
                </c:pt>
                <c:pt idx="356">
                  <c:v>8.086335914607952</c:v>
                </c:pt>
                <c:pt idx="357">
                  <c:v>8.088690072019839</c:v>
                </c:pt>
                <c:pt idx="358">
                  <c:v>8.091040149054928</c:v>
                </c:pt>
                <c:pt idx="359">
                  <c:v>8.093386159269027</c:v>
                </c:pt>
                <c:pt idx="360">
                  <c:v>8.095728116109994</c:v>
                </c:pt>
                <c:pt idx="361">
                  <c:v>8.098066032918675</c:v>
                </c:pt>
                <c:pt idx="362">
                  <c:v>8.100399922929856</c:v>
                </c:pt>
                <c:pt idx="363">
                  <c:v>8.102729799273202</c:v>
                </c:pt>
                <c:pt idx="364">
                  <c:v>8.105055674974162</c:v>
                </c:pt>
                <c:pt idx="365">
                  <c:v>8.107377562954897</c:v>
                </c:pt>
                <c:pt idx="366">
                  <c:v>8.109695476035181</c:v>
                </c:pt>
                <c:pt idx="367">
                  <c:v>8.112009426933298</c:v>
                </c:pt>
                <c:pt idx="368">
                  <c:v>8.114319428266919</c:v>
                </c:pt>
                <c:pt idx="369">
                  <c:v>8.116625492553995</c:v>
                </c:pt>
                <c:pt idx="370">
                  <c:v>8.118927632213609</c:v>
                </c:pt>
                <c:pt idx="371">
                  <c:v>8.12122585956685</c:v>
                </c:pt>
                <c:pt idx="372">
                  <c:v>8.123520186837654</c:v>
                </c:pt>
                <c:pt idx="373">
                  <c:v>8.125810626153646</c:v>
                </c:pt>
                <c:pt idx="374">
                  <c:v>8.128097189546981</c:v>
                </c:pt>
                <c:pt idx="375">
                  <c:v>8.130379888955169</c:v>
                </c:pt>
                <c:pt idx="376">
                  <c:v>8.132659558101802</c:v>
                </c:pt>
                <c:pt idx="377">
                  <c:v>8.134934528539851</c:v>
                </c:pt>
                <c:pt idx="378">
                  <c:v>8.1372056487312</c:v>
                </c:pt>
                <c:pt idx="379">
                  <c:v>8.13947293276328</c:v>
                </c:pt>
                <c:pt idx="380">
                  <c:v>8.141736394641459</c:v>
                </c:pt>
                <c:pt idx="381">
                  <c:v>8.14399604828969</c:v>
                </c:pt>
                <c:pt idx="382">
                  <c:v>8.146251907551154</c:v>
                </c:pt>
                <c:pt idx="383">
                  <c:v>8.148503986188894</c:v>
                </c:pt>
                <c:pt idx="384">
                  <c:v>8.150752297886442</c:v>
                </c:pt>
                <c:pt idx="385">
                  <c:v>8.152996856248445</c:v>
                </c:pt>
                <c:pt idx="386">
                  <c:v>8.155237674801283</c:v>
                </c:pt>
                <c:pt idx="387">
                  <c:v>8.157474766993674</c:v>
                </c:pt>
                <c:pt idx="388">
                  <c:v>8.159708146197293</c:v>
                </c:pt>
                <c:pt idx="389">
                  <c:v>8.16193782570734</c:v>
                </c:pt>
                <c:pt idx="390">
                  <c:v>8.164163818743182</c:v>
                </c:pt>
                <c:pt idx="391">
                  <c:v>8.166386138448885</c:v>
                </c:pt>
                <c:pt idx="392">
                  <c:v>8.168604797893844</c:v>
                </c:pt>
                <c:pt idx="393">
                  <c:v>8.170819810073324</c:v>
                </c:pt>
                <c:pt idx="394">
                  <c:v>8.173031187909054</c:v>
                </c:pt>
                <c:pt idx="395">
                  <c:v>8.175238944249779</c:v>
                </c:pt>
                <c:pt idx="396">
                  <c:v>8.177443091871828</c:v>
                </c:pt>
                <c:pt idx="397">
                  <c:v>8.179643643479654</c:v>
                </c:pt>
                <c:pt idx="398">
                  <c:v>8.181840611706402</c:v>
                </c:pt>
                <c:pt idx="399">
                  <c:v>8.184034009114438</c:v>
                </c:pt>
                <c:pt idx="400">
                  <c:v>8.186223848195896</c:v>
                </c:pt>
                <c:pt idx="401">
                  <c:v>8.188410141373211</c:v>
                </c:pt>
                <c:pt idx="402">
                  <c:v>8.190592900999636</c:v>
                </c:pt>
                <c:pt idx="403">
                  <c:v>8.192772139359786</c:v>
                </c:pt>
                <c:pt idx="404">
                  <c:v>8.194947868670134</c:v>
                </c:pt>
                <c:pt idx="405">
                  <c:v>8.19712010107954</c:v>
                </c:pt>
                <c:pt idx="406">
                  <c:v>8.199288848669752</c:v>
                </c:pt>
                <c:pt idx="407">
                  <c:v>8.201454123455925</c:v>
                </c:pt>
                <c:pt idx="408">
                  <c:v>8.203615937387085</c:v>
                </c:pt>
                <c:pt idx="409">
                  <c:v>8.205774302346663</c:v>
                </c:pt>
                <c:pt idx="410">
                  <c:v>8.207929230152967</c:v>
                </c:pt>
                <c:pt idx="411">
                  <c:v>8.21008073255966</c:v>
                </c:pt>
                <c:pt idx="412">
                  <c:v>8.212228821256259</c:v>
                </c:pt>
                <c:pt idx="413">
                  <c:v>8.214373507868595</c:v>
                </c:pt>
                <c:pt idx="414">
                  <c:v>8.21651480395929</c:v>
                </c:pt>
                <c:pt idx="415">
                  <c:v>8.218652721028231</c:v>
                </c:pt>
                <c:pt idx="416">
                  <c:v>8.220787270513025</c:v>
                </c:pt>
                <c:pt idx="417">
                  <c:v>8.222918463789464</c:v>
                </c:pt>
                <c:pt idx="418">
                  <c:v>8.225046312171965</c:v>
                </c:pt>
                <c:pt idx="419">
                  <c:v>8.227170826914046</c:v>
                </c:pt>
                <c:pt idx="420">
                  <c:v>8.229292019208751</c:v>
                </c:pt>
                <c:pt idx="421">
                  <c:v>8.2314099001891</c:v>
                </c:pt>
                <c:pt idx="422">
                  <c:v>8.233524480928528</c:v>
                </c:pt>
                <c:pt idx="423">
                  <c:v>8.235635772441317</c:v>
                </c:pt>
                <c:pt idx="424">
                  <c:v>8.237743785683026</c:v>
                </c:pt>
                <c:pt idx="425">
                  <c:v>8.23984853155092</c:v>
                </c:pt>
                <c:pt idx="426">
                  <c:v>8.241950020884387</c:v>
                </c:pt>
                <c:pt idx="427">
                  <c:v>8.244048264465368</c:v>
                </c:pt>
                <c:pt idx="428">
                  <c:v>8.246143273018756</c:v>
                </c:pt>
                <c:pt idx="429">
                  <c:v>8.248235057212819</c:v>
                </c:pt>
                <c:pt idx="430">
                  <c:v>8.250323627659604</c:v>
                </c:pt>
                <c:pt idx="431">
                  <c:v>8.252408994915337</c:v>
                </c:pt>
                <c:pt idx="432">
                  <c:v>8.254491169480835</c:v>
                </c:pt>
                <c:pt idx="433">
                  <c:v>8.256570161801886</c:v>
                </c:pt>
                <c:pt idx="434">
                  <c:v>8.258645982269643</c:v>
                </c:pt>
                <c:pt idx="435">
                  <c:v>8.260718641221041</c:v>
                </c:pt>
                <c:pt idx="436">
                  <c:v>8.262788148939146</c:v>
                </c:pt>
                <c:pt idx="437">
                  <c:v>8.264854515653557</c:v>
                </c:pt>
                <c:pt idx="438">
                  <c:v>8.266917751540785</c:v>
                </c:pt>
                <c:pt idx="439">
                  <c:v>8.268977866724622</c:v>
                </c:pt>
                <c:pt idx="440">
                  <c:v>8.271034871276518</c:v>
                </c:pt>
                <c:pt idx="441">
                  <c:v>8.273088775215951</c:v>
                </c:pt>
                <c:pt idx="442">
                  <c:v>8.275139588510784</c:v>
                </c:pt>
                <c:pt idx="443">
                  <c:v>8.277187321077651</c:v>
                </c:pt>
                <c:pt idx="444">
                  <c:v>8.279231982782285</c:v>
                </c:pt>
                <c:pt idx="445">
                  <c:v>8.281273583439893</c:v>
                </c:pt>
                <c:pt idx="446">
                  <c:v>8.283312132815507</c:v>
                </c:pt>
                <c:pt idx="447">
                  <c:v>8.28534764062433</c:v>
                </c:pt>
                <c:pt idx="448">
                  <c:v>8.287380116532095</c:v>
                </c:pt>
                <c:pt idx="449">
                  <c:v>8.289409570155387</c:v>
                </c:pt>
                <c:pt idx="450">
                  <c:v>8.291436011062007</c:v>
                </c:pt>
                <c:pt idx="451">
                  <c:v>8.293459448771292</c:v>
                </c:pt>
                <c:pt idx="452">
                  <c:v>8.295479892754464</c:v>
                </c:pt>
                <c:pt idx="453">
                  <c:v>8.297497352434954</c:v>
                </c:pt>
                <c:pt idx="454">
                  <c:v>8.29951183718873</c:v>
                </c:pt>
                <c:pt idx="455">
                  <c:v>8.301523356344635</c:v>
                </c:pt>
                <c:pt idx="456">
                  <c:v>8.303531919184698</c:v>
                </c:pt>
                <c:pt idx="457">
                  <c:v>8.305537534944456</c:v>
                </c:pt>
                <c:pt idx="458">
                  <c:v>8.307540212813286</c:v>
                </c:pt>
                <c:pt idx="459">
                  <c:v>8.309539961934696</c:v>
                </c:pt>
                <c:pt idx="460">
                  <c:v>8.311536791406668</c:v>
                </c:pt>
                <c:pt idx="461">
                  <c:v>8.313530710281935</c:v>
                </c:pt>
                <c:pt idx="462">
                  <c:v>8.315521727568324</c:v>
                </c:pt>
                <c:pt idx="463">
                  <c:v>8.317509852229025</c:v>
                </c:pt>
                <c:pt idx="464">
                  <c:v>8.319495093182924</c:v>
                </c:pt>
                <c:pt idx="465">
                  <c:v>8.321477459304878</c:v>
                </c:pt>
                <c:pt idx="466">
                  <c:v>8.323456959426034</c:v>
                </c:pt>
                <c:pt idx="467">
                  <c:v>8.3254336023341</c:v>
                </c:pt>
                <c:pt idx="468">
                  <c:v>8.327407396773662</c:v>
                </c:pt>
                <c:pt idx="469">
                  <c:v>8.329378351446458</c:v>
                </c:pt>
                <c:pt idx="470">
                  <c:v>8.331346475011665</c:v>
                </c:pt>
                <c:pt idx="471">
                  <c:v>8.33331177608619</c:v>
                </c:pt>
                <c:pt idx="472">
                  <c:v>8.335274263244951</c:v>
                </c:pt>
                <c:pt idx="473">
                  <c:v>8.337233945021158</c:v>
                </c:pt>
                <c:pt idx="474">
                  <c:v>8.339190829906581</c:v>
                </c:pt>
                <c:pt idx="475">
                  <c:v>8.341144926351843</c:v>
                </c:pt>
                <c:pt idx="476">
                  <c:v>8.343096242766675</c:v>
                </c:pt>
                <c:pt idx="477">
                  <c:v>8.345044787520198</c:v>
                </c:pt>
                <c:pt idx="478">
                  <c:v>8.346990568941196</c:v>
                </c:pt>
                <c:pt idx="479">
                  <c:v>8.348933595318362</c:v>
                </c:pt>
                <c:pt idx="480">
                  <c:v>8.350873874900586</c:v>
                </c:pt>
                <c:pt idx="481">
                  <c:v>8.352811415897198</c:v>
                </c:pt>
                <c:pt idx="482">
                  <c:v>8.354746226478243</c:v>
                </c:pt>
                <c:pt idx="483">
                  <c:v>8.356678314774728</c:v>
                </c:pt>
                <c:pt idx="484">
                  <c:v>8.35860768887888</c:v>
                </c:pt>
                <c:pt idx="485">
                  <c:v>8.360534356844408</c:v>
                </c:pt>
                <c:pt idx="486">
                  <c:v>8.362458326686738</c:v>
                </c:pt>
                <c:pt idx="487">
                  <c:v>8.364379606383276</c:v>
                </c:pt>
                <c:pt idx="488">
                  <c:v>8.366298203873647</c:v>
                </c:pt>
                <c:pt idx="489">
                  <c:v>8.368214127059954</c:v>
                </c:pt>
                <c:pt idx="490">
                  <c:v>8.370127383806999</c:v>
                </c:pt>
                <c:pt idx="491">
                  <c:v>8.372037981942546</c:v>
                </c:pt>
                <c:pt idx="492">
                  <c:v>8.373945929257545</c:v>
                </c:pt>
                <c:pt idx="493">
                  <c:v>8.375851233506378</c:v>
                </c:pt>
                <c:pt idx="494">
                  <c:v>8.377753902407092</c:v>
                </c:pt>
                <c:pt idx="495">
                  <c:v>8.379653943641634</c:v>
                </c:pt>
                <c:pt idx="496">
                  <c:v>8.381551364856072</c:v>
                </c:pt>
                <c:pt idx="497">
                  <c:v>8.38344617366085</c:v>
                </c:pt>
                <c:pt idx="498">
                  <c:v>8.385338377630985</c:v>
                </c:pt>
                <c:pt idx="499">
                  <c:v>8.387227984306325</c:v>
                </c:pt>
                <c:pt idx="500">
                  <c:v>8.389115001191733</c:v>
                </c:pt>
                <c:pt idx="501">
                  <c:v>8.390999435757355</c:v>
                </c:pt>
                <c:pt idx="502">
                  <c:v>8.392881295438807</c:v>
                </c:pt>
                <c:pt idx="503">
                  <c:v>8.394760587637412</c:v>
                </c:pt>
                <c:pt idx="504">
                  <c:v>8.396637319720407</c:v>
                </c:pt>
                <c:pt idx="505">
                  <c:v>8.398511499021168</c:v>
                </c:pt>
                <c:pt idx="506">
                  <c:v>8.40038313283941</c:v>
                </c:pt>
                <c:pt idx="507">
                  <c:v>8.40225222844142</c:v>
                </c:pt>
                <c:pt idx="508">
                  <c:v>8.40411879306024</c:v>
                </c:pt>
                <c:pt idx="509">
                  <c:v>8.405982833895909</c:v>
                </c:pt>
                <c:pt idx="510">
                  <c:v>8.407844358115641</c:v>
                </c:pt>
                <c:pt idx="511">
                  <c:v>8.40970337285404</c:v>
                </c:pt>
                <c:pt idx="512">
                  <c:v>8.411559885213315</c:v>
                </c:pt>
                <c:pt idx="513">
                  <c:v>8.413413902263466</c:v>
                </c:pt>
                <c:pt idx="514">
                  <c:v>8.415265431042496</c:v>
                </c:pt>
                <c:pt idx="515">
                  <c:v>8.417114478556602</c:v>
                </c:pt>
                <c:pt idx="516">
                  <c:v>8.418961051780384</c:v>
                </c:pt>
                <c:pt idx="517">
                  <c:v>8.420805157657025</c:v>
                </c:pt>
                <c:pt idx="518">
                  <c:v>8.4226468030985</c:v>
                </c:pt>
                <c:pt idx="519">
                  <c:v>8.42448599498576</c:v>
                </c:pt>
                <c:pt idx="520">
                  <c:v>8.426322740168931</c:v>
                </c:pt>
                <c:pt idx="521">
                  <c:v>8.428157045467502</c:v>
                </c:pt>
                <c:pt idx="522">
                  <c:v>8.429988917670501</c:v>
                </c:pt>
                <c:pt idx="523">
                  <c:v>8.431818363536705</c:v>
                </c:pt>
                <c:pt idx="524">
                  <c:v>8.433645389794805</c:v>
                </c:pt>
                <c:pt idx="525">
                  <c:v>8.435470003143605</c:v>
                </c:pt>
                <c:pt idx="526">
                  <c:v>8.437292210252192</c:v>
                </c:pt>
                <c:pt idx="527">
                  <c:v>8.439112017760129</c:v>
                </c:pt>
                <c:pt idx="528">
                  <c:v>8.440929432277631</c:v>
                </c:pt>
                <c:pt idx="529">
                  <c:v>8.44274446038574</c:v>
                </c:pt>
                <c:pt idx="530">
                  <c:v>8.444557108636504</c:v>
                </c:pt>
                <c:pt idx="531">
                  <c:v>8.446367383553158</c:v>
                </c:pt>
                <c:pt idx="532">
                  <c:v>8.44817529163029</c:v>
                </c:pt>
                <c:pt idx="533">
                  <c:v>8.449980839334026</c:v>
                </c:pt>
                <c:pt idx="534">
                  <c:v>8.45178403310219</c:v>
                </c:pt>
                <c:pt idx="535">
                  <c:v>8.453584879344474</c:v>
                </c:pt>
                <c:pt idx="536">
                  <c:v>8.455383384442628</c:v>
                </c:pt>
                <c:pt idx="537">
                  <c:v>8.457179554750603</c:v>
                </c:pt>
                <c:pt idx="538">
                  <c:v>8.458973396594725</c:v>
                </c:pt>
                <c:pt idx="539">
                  <c:v>8.460764916273872</c:v>
                </c:pt>
                <c:pt idx="540">
                  <c:v>8.462554120059625</c:v>
                </c:pt>
                <c:pt idx="541">
                  <c:v>8.464341014196439</c:v>
                </c:pt>
                <c:pt idx="542">
                  <c:v>8.466125604901798</c:v>
                </c:pt>
                <c:pt idx="543">
                  <c:v>8.467907898366382</c:v>
                </c:pt>
                <c:pt idx="544">
                  <c:v>8.469687900754227</c:v>
                </c:pt>
                <c:pt idx="545">
                  <c:v>8.47146561820287</c:v>
                </c:pt>
                <c:pt idx="546">
                  <c:v>8.47324105682353</c:v>
                </c:pt>
                <c:pt idx="547">
                  <c:v>8.47501422270124</c:v>
                </c:pt>
                <c:pt idx="548">
                  <c:v>8.476785121895018</c:v>
                </c:pt>
                <c:pt idx="549">
                  <c:v>8.478553760438007</c:v>
                </c:pt>
                <c:pt idx="550">
                  <c:v>8.48032014433765</c:v>
                </c:pt>
                <c:pt idx="551">
                  <c:v>8.482084279575805</c:v>
                </c:pt>
                <c:pt idx="552">
                  <c:v>8.483846172108937</c:v>
                </c:pt>
                <c:pt idx="553">
                  <c:v>8.485605827868234</c:v>
                </c:pt>
                <c:pt idx="554">
                  <c:v>8.487363252759774</c:v>
                </c:pt>
                <c:pt idx="555">
                  <c:v>8.489118452664666</c:v>
                </c:pt>
                <c:pt idx="556">
                  <c:v>8.490871433439189</c:v>
                </c:pt>
                <c:pt idx="557">
                  <c:v>8.492622200914953</c:v>
                </c:pt>
                <c:pt idx="558">
                  <c:v>8.49437076089902</c:v>
                </c:pt>
                <c:pt idx="559">
                  <c:v>8.496117119174077</c:v>
                </c:pt>
                <c:pt idx="560">
                  <c:v>8.497861281498542</c:v>
                </c:pt>
                <c:pt idx="561">
                  <c:v>8.49960325360674</c:v>
                </c:pt>
                <c:pt idx="562">
                  <c:v>8.50134304120901</c:v>
                </c:pt>
                <c:pt idx="563">
                  <c:v>8.503080649991876</c:v>
                </c:pt>
                <c:pt idx="564">
                  <c:v>8.504816085618149</c:v>
                </c:pt>
                <c:pt idx="565">
                  <c:v>8.506549353727094</c:v>
                </c:pt>
                <c:pt idx="566">
                  <c:v>8.508280459934552</c:v>
                </c:pt>
                <c:pt idx="567">
                  <c:v>8.51000940983308</c:v>
                </c:pt>
                <c:pt idx="568">
                  <c:v>8.511736208992067</c:v>
                </c:pt>
                <c:pt idx="569">
                  <c:v>8.513460862957897</c:v>
                </c:pt>
                <c:pt idx="570">
                  <c:v>8.515183377254056</c:v>
                </c:pt>
                <c:pt idx="571">
                  <c:v>8.516903757381272</c:v>
                </c:pt>
                <c:pt idx="572">
                  <c:v>8.518622008817644</c:v>
                </c:pt>
                <c:pt idx="573">
                  <c:v>8.520338137018767</c:v>
                </c:pt>
                <c:pt idx="574">
                  <c:v>8.522052147417874</c:v>
                </c:pt>
                <c:pt idx="575">
                  <c:v>8.523764045425938</c:v>
                </c:pt>
              </c:numCache>
            </c:numRef>
          </c:xVal>
          <c:yVal>
            <c:numRef>
              <c:f>'T-s diagr. data'!$B$8:$B$758</c:f>
              <c:numCache>
                <c:ptCount val="751"/>
                <c:pt idx="0">
                  <c:v>250</c:v>
                </c:pt>
                <c:pt idx="1">
                  <c:v>252</c:v>
                </c:pt>
                <c:pt idx="2">
                  <c:v>254</c:v>
                </c:pt>
                <c:pt idx="3">
                  <c:v>256</c:v>
                </c:pt>
                <c:pt idx="4">
                  <c:v>258</c:v>
                </c:pt>
                <c:pt idx="5">
                  <c:v>260</c:v>
                </c:pt>
                <c:pt idx="6">
                  <c:v>262</c:v>
                </c:pt>
                <c:pt idx="7">
                  <c:v>264</c:v>
                </c:pt>
                <c:pt idx="8">
                  <c:v>266</c:v>
                </c:pt>
                <c:pt idx="9">
                  <c:v>268</c:v>
                </c:pt>
                <c:pt idx="10">
                  <c:v>270</c:v>
                </c:pt>
                <c:pt idx="11">
                  <c:v>272</c:v>
                </c:pt>
                <c:pt idx="12">
                  <c:v>274</c:v>
                </c:pt>
                <c:pt idx="13">
                  <c:v>276</c:v>
                </c:pt>
                <c:pt idx="14">
                  <c:v>278</c:v>
                </c:pt>
                <c:pt idx="15">
                  <c:v>280</c:v>
                </c:pt>
                <c:pt idx="16">
                  <c:v>282</c:v>
                </c:pt>
                <c:pt idx="17">
                  <c:v>284</c:v>
                </c:pt>
                <c:pt idx="18">
                  <c:v>286</c:v>
                </c:pt>
                <c:pt idx="19">
                  <c:v>288</c:v>
                </c:pt>
                <c:pt idx="20">
                  <c:v>290</c:v>
                </c:pt>
                <c:pt idx="21">
                  <c:v>292</c:v>
                </c:pt>
                <c:pt idx="22">
                  <c:v>294</c:v>
                </c:pt>
                <c:pt idx="23">
                  <c:v>296</c:v>
                </c:pt>
                <c:pt idx="24">
                  <c:v>298</c:v>
                </c:pt>
                <c:pt idx="25">
                  <c:v>300</c:v>
                </c:pt>
                <c:pt idx="26">
                  <c:v>302</c:v>
                </c:pt>
                <c:pt idx="27">
                  <c:v>304</c:v>
                </c:pt>
                <c:pt idx="28">
                  <c:v>306</c:v>
                </c:pt>
                <c:pt idx="29">
                  <c:v>308</c:v>
                </c:pt>
                <c:pt idx="30">
                  <c:v>310</c:v>
                </c:pt>
                <c:pt idx="31">
                  <c:v>312</c:v>
                </c:pt>
                <c:pt idx="32">
                  <c:v>314</c:v>
                </c:pt>
                <c:pt idx="33">
                  <c:v>316</c:v>
                </c:pt>
                <c:pt idx="34">
                  <c:v>318</c:v>
                </c:pt>
                <c:pt idx="35">
                  <c:v>320</c:v>
                </c:pt>
                <c:pt idx="36">
                  <c:v>322</c:v>
                </c:pt>
                <c:pt idx="37">
                  <c:v>324</c:v>
                </c:pt>
                <c:pt idx="38">
                  <c:v>326</c:v>
                </c:pt>
                <c:pt idx="39">
                  <c:v>328</c:v>
                </c:pt>
                <c:pt idx="40">
                  <c:v>330</c:v>
                </c:pt>
                <c:pt idx="41">
                  <c:v>332</c:v>
                </c:pt>
                <c:pt idx="42">
                  <c:v>334</c:v>
                </c:pt>
                <c:pt idx="43">
                  <c:v>336</c:v>
                </c:pt>
                <c:pt idx="44">
                  <c:v>338</c:v>
                </c:pt>
                <c:pt idx="45">
                  <c:v>340</c:v>
                </c:pt>
                <c:pt idx="46">
                  <c:v>342</c:v>
                </c:pt>
                <c:pt idx="47">
                  <c:v>344</c:v>
                </c:pt>
                <c:pt idx="48">
                  <c:v>346</c:v>
                </c:pt>
                <c:pt idx="49">
                  <c:v>348</c:v>
                </c:pt>
                <c:pt idx="50">
                  <c:v>350</c:v>
                </c:pt>
                <c:pt idx="51">
                  <c:v>352</c:v>
                </c:pt>
                <c:pt idx="52">
                  <c:v>354</c:v>
                </c:pt>
                <c:pt idx="53">
                  <c:v>356</c:v>
                </c:pt>
                <c:pt idx="54">
                  <c:v>358</c:v>
                </c:pt>
                <c:pt idx="55">
                  <c:v>360</c:v>
                </c:pt>
                <c:pt idx="56">
                  <c:v>362</c:v>
                </c:pt>
                <c:pt idx="57">
                  <c:v>364</c:v>
                </c:pt>
                <c:pt idx="58">
                  <c:v>366</c:v>
                </c:pt>
                <c:pt idx="59">
                  <c:v>368</c:v>
                </c:pt>
                <c:pt idx="60">
                  <c:v>370</c:v>
                </c:pt>
                <c:pt idx="61">
                  <c:v>372</c:v>
                </c:pt>
                <c:pt idx="62">
                  <c:v>374</c:v>
                </c:pt>
                <c:pt idx="63">
                  <c:v>376</c:v>
                </c:pt>
                <c:pt idx="64">
                  <c:v>378</c:v>
                </c:pt>
                <c:pt idx="65">
                  <c:v>380</c:v>
                </c:pt>
                <c:pt idx="66">
                  <c:v>382</c:v>
                </c:pt>
                <c:pt idx="67">
                  <c:v>384</c:v>
                </c:pt>
                <c:pt idx="68">
                  <c:v>386</c:v>
                </c:pt>
                <c:pt idx="69">
                  <c:v>388</c:v>
                </c:pt>
                <c:pt idx="70">
                  <c:v>390</c:v>
                </c:pt>
                <c:pt idx="71">
                  <c:v>392</c:v>
                </c:pt>
                <c:pt idx="72">
                  <c:v>394</c:v>
                </c:pt>
                <c:pt idx="73">
                  <c:v>396</c:v>
                </c:pt>
                <c:pt idx="74">
                  <c:v>398</c:v>
                </c:pt>
                <c:pt idx="75">
                  <c:v>400</c:v>
                </c:pt>
                <c:pt idx="76">
                  <c:v>402</c:v>
                </c:pt>
                <c:pt idx="77">
                  <c:v>404</c:v>
                </c:pt>
                <c:pt idx="78">
                  <c:v>406</c:v>
                </c:pt>
                <c:pt idx="79">
                  <c:v>408</c:v>
                </c:pt>
                <c:pt idx="80">
                  <c:v>410</c:v>
                </c:pt>
                <c:pt idx="81">
                  <c:v>412</c:v>
                </c:pt>
                <c:pt idx="82">
                  <c:v>414</c:v>
                </c:pt>
                <c:pt idx="83">
                  <c:v>416</c:v>
                </c:pt>
                <c:pt idx="84">
                  <c:v>418</c:v>
                </c:pt>
                <c:pt idx="85">
                  <c:v>420</c:v>
                </c:pt>
                <c:pt idx="86">
                  <c:v>422</c:v>
                </c:pt>
                <c:pt idx="87">
                  <c:v>424</c:v>
                </c:pt>
                <c:pt idx="88">
                  <c:v>426</c:v>
                </c:pt>
                <c:pt idx="89">
                  <c:v>428</c:v>
                </c:pt>
                <c:pt idx="90">
                  <c:v>430</c:v>
                </c:pt>
                <c:pt idx="91">
                  <c:v>432</c:v>
                </c:pt>
                <c:pt idx="92">
                  <c:v>434</c:v>
                </c:pt>
                <c:pt idx="93">
                  <c:v>436</c:v>
                </c:pt>
                <c:pt idx="94">
                  <c:v>438</c:v>
                </c:pt>
                <c:pt idx="95">
                  <c:v>440</c:v>
                </c:pt>
                <c:pt idx="96">
                  <c:v>442</c:v>
                </c:pt>
                <c:pt idx="97">
                  <c:v>444</c:v>
                </c:pt>
                <c:pt idx="98">
                  <c:v>446</c:v>
                </c:pt>
                <c:pt idx="99">
                  <c:v>448</c:v>
                </c:pt>
                <c:pt idx="100">
                  <c:v>450</c:v>
                </c:pt>
                <c:pt idx="101">
                  <c:v>452</c:v>
                </c:pt>
                <c:pt idx="102">
                  <c:v>454</c:v>
                </c:pt>
                <c:pt idx="103">
                  <c:v>456</c:v>
                </c:pt>
                <c:pt idx="104">
                  <c:v>458</c:v>
                </c:pt>
                <c:pt idx="105">
                  <c:v>460</c:v>
                </c:pt>
                <c:pt idx="106">
                  <c:v>462</c:v>
                </c:pt>
                <c:pt idx="107">
                  <c:v>464</c:v>
                </c:pt>
                <c:pt idx="108">
                  <c:v>466</c:v>
                </c:pt>
                <c:pt idx="109">
                  <c:v>468</c:v>
                </c:pt>
                <c:pt idx="110">
                  <c:v>470</c:v>
                </c:pt>
                <c:pt idx="111">
                  <c:v>472</c:v>
                </c:pt>
                <c:pt idx="112">
                  <c:v>474</c:v>
                </c:pt>
                <c:pt idx="113">
                  <c:v>476</c:v>
                </c:pt>
                <c:pt idx="114">
                  <c:v>478</c:v>
                </c:pt>
                <c:pt idx="115">
                  <c:v>480</c:v>
                </c:pt>
                <c:pt idx="116">
                  <c:v>482</c:v>
                </c:pt>
                <c:pt idx="117">
                  <c:v>484</c:v>
                </c:pt>
                <c:pt idx="118">
                  <c:v>486</c:v>
                </c:pt>
                <c:pt idx="119">
                  <c:v>488</c:v>
                </c:pt>
                <c:pt idx="120">
                  <c:v>490</c:v>
                </c:pt>
                <c:pt idx="121">
                  <c:v>492</c:v>
                </c:pt>
                <c:pt idx="122">
                  <c:v>494</c:v>
                </c:pt>
                <c:pt idx="123">
                  <c:v>496</c:v>
                </c:pt>
                <c:pt idx="124">
                  <c:v>498</c:v>
                </c:pt>
                <c:pt idx="125">
                  <c:v>500</c:v>
                </c:pt>
                <c:pt idx="126">
                  <c:v>502</c:v>
                </c:pt>
                <c:pt idx="127">
                  <c:v>504</c:v>
                </c:pt>
                <c:pt idx="128">
                  <c:v>506</c:v>
                </c:pt>
                <c:pt idx="129">
                  <c:v>508</c:v>
                </c:pt>
                <c:pt idx="130">
                  <c:v>510</c:v>
                </c:pt>
                <c:pt idx="131">
                  <c:v>512</c:v>
                </c:pt>
                <c:pt idx="132">
                  <c:v>514</c:v>
                </c:pt>
                <c:pt idx="133">
                  <c:v>516</c:v>
                </c:pt>
                <c:pt idx="134">
                  <c:v>518</c:v>
                </c:pt>
                <c:pt idx="135">
                  <c:v>520</c:v>
                </c:pt>
                <c:pt idx="136">
                  <c:v>522</c:v>
                </c:pt>
                <c:pt idx="137">
                  <c:v>524</c:v>
                </c:pt>
                <c:pt idx="138">
                  <c:v>526</c:v>
                </c:pt>
                <c:pt idx="139">
                  <c:v>528</c:v>
                </c:pt>
                <c:pt idx="140">
                  <c:v>530</c:v>
                </c:pt>
                <c:pt idx="141">
                  <c:v>532</c:v>
                </c:pt>
                <c:pt idx="142">
                  <c:v>534</c:v>
                </c:pt>
                <c:pt idx="143">
                  <c:v>536</c:v>
                </c:pt>
                <c:pt idx="144">
                  <c:v>538</c:v>
                </c:pt>
                <c:pt idx="145">
                  <c:v>540</c:v>
                </c:pt>
                <c:pt idx="146">
                  <c:v>542</c:v>
                </c:pt>
                <c:pt idx="147">
                  <c:v>544</c:v>
                </c:pt>
                <c:pt idx="148">
                  <c:v>546</c:v>
                </c:pt>
                <c:pt idx="149">
                  <c:v>548</c:v>
                </c:pt>
                <c:pt idx="150">
                  <c:v>550</c:v>
                </c:pt>
                <c:pt idx="151">
                  <c:v>552</c:v>
                </c:pt>
                <c:pt idx="152">
                  <c:v>554</c:v>
                </c:pt>
                <c:pt idx="153">
                  <c:v>556</c:v>
                </c:pt>
                <c:pt idx="154">
                  <c:v>558</c:v>
                </c:pt>
                <c:pt idx="155">
                  <c:v>560</c:v>
                </c:pt>
                <c:pt idx="156">
                  <c:v>562</c:v>
                </c:pt>
                <c:pt idx="157">
                  <c:v>564</c:v>
                </c:pt>
                <c:pt idx="158">
                  <c:v>566</c:v>
                </c:pt>
                <c:pt idx="159">
                  <c:v>568</c:v>
                </c:pt>
                <c:pt idx="160">
                  <c:v>570</c:v>
                </c:pt>
                <c:pt idx="161">
                  <c:v>572</c:v>
                </c:pt>
                <c:pt idx="162">
                  <c:v>574</c:v>
                </c:pt>
                <c:pt idx="163">
                  <c:v>576</c:v>
                </c:pt>
                <c:pt idx="164">
                  <c:v>578</c:v>
                </c:pt>
                <c:pt idx="165">
                  <c:v>580</c:v>
                </c:pt>
                <c:pt idx="166">
                  <c:v>582</c:v>
                </c:pt>
                <c:pt idx="167">
                  <c:v>584</c:v>
                </c:pt>
                <c:pt idx="168">
                  <c:v>586</c:v>
                </c:pt>
                <c:pt idx="169">
                  <c:v>588</c:v>
                </c:pt>
                <c:pt idx="170">
                  <c:v>590</c:v>
                </c:pt>
                <c:pt idx="171">
                  <c:v>592</c:v>
                </c:pt>
                <c:pt idx="172">
                  <c:v>594</c:v>
                </c:pt>
                <c:pt idx="173">
                  <c:v>596</c:v>
                </c:pt>
                <c:pt idx="174">
                  <c:v>598</c:v>
                </c:pt>
                <c:pt idx="175">
                  <c:v>600</c:v>
                </c:pt>
                <c:pt idx="176">
                  <c:v>602</c:v>
                </c:pt>
                <c:pt idx="177">
                  <c:v>604</c:v>
                </c:pt>
                <c:pt idx="178">
                  <c:v>606</c:v>
                </c:pt>
                <c:pt idx="179">
                  <c:v>608</c:v>
                </c:pt>
                <c:pt idx="180">
                  <c:v>610</c:v>
                </c:pt>
                <c:pt idx="181">
                  <c:v>612</c:v>
                </c:pt>
                <c:pt idx="182">
                  <c:v>614</c:v>
                </c:pt>
                <c:pt idx="183">
                  <c:v>616</c:v>
                </c:pt>
                <c:pt idx="184">
                  <c:v>618</c:v>
                </c:pt>
                <c:pt idx="185">
                  <c:v>620</c:v>
                </c:pt>
                <c:pt idx="186">
                  <c:v>622</c:v>
                </c:pt>
                <c:pt idx="187">
                  <c:v>624</c:v>
                </c:pt>
                <c:pt idx="188">
                  <c:v>626</c:v>
                </c:pt>
                <c:pt idx="189">
                  <c:v>628</c:v>
                </c:pt>
                <c:pt idx="190">
                  <c:v>630</c:v>
                </c:pt>
                <c:pt idx="191">
                  <c:v>632</c:v>
                </c:pt>
                <c:pt idx="192">
                  <c:v>634</c:v>
                </c:pt>
                <c:pt idx="193">
                  <c:v>636</c:v>
                </c:pt>
                <c:pt idx="194">
                  <c:v>638</c:v>
                </c:pt>
                <c:pt idx="195">
                  <c:v>640</c:v>
                </c:pt>
                <c:pt idx="196">
                  <c:v>642</c:v>
                </c:pt>
                <c:pt idx="197">
                  <c:v>644</c:v>
                </c:pt>
                <c:pt idx="198">
                  <c:v>646</c:v>
                </c:pt>
                <c:pt idx="199">
                  <c:v>648</c:v>
                </c:pt>
                <c:pt idx="200">
                  <c:v>650</c:v>
                </c:pt>
                <c:pt idx="201">
                  <c:v>652</c:v>
                </c:pt>
                <c:pt idx="202">
                  <c:v>654</c:v>
                </c:pt>
                <c:pt idx="203">
                  <c:v>656</c:v>
                </c:pt>
                <c:pt idx="204">
                  <c:v>658</c:v>
                </c:pt>
                <c:pt idx="205">
                  <c:v>660</c:v>
                </c:pt>
                <c:pt idx="206">
                  <c:v>662</c:v>
                </c:pt>
                <c:pt idx="207">
                  <c:v>664</c:v>
                </c:pt>
                <c:pt idx="208">
                  <c:v>666</c:v>
                </c:pt>
                <c:pt idx="209">
                  <c:v>668</c:v>
                </c:pt>
                <c:pt idx="210">
                  <c:v>670</c:v>
                </c:pt>
                <c:pt idx="211">
                  <c:v>672</c:v>
                </c:pt>
                <c:pt idx="212">
                  <c:v>674</c:v>
                </c:pt>
                <c:pt idx="213">
                  <c:v>676</c:v>
                </c:pt>
                <c:pt idx="214">
                  <c:v>678</c:v>
                </c:pt>
                <c:pt idx="215">
                  <c:v>680</c:v>
                </c:pt>
                <c:pt idx="216">
                  <c:v>682</c:v>
                </c:pt>
                <c:pt idx="217">
                  <c:v>684</c:v>
                </c:pt>
                <c:pt idx="218">
                  <c:v>686</c:v>
                </c:pt>
                <c:pt idx="219">
                  <c:v>688</c:v>
                </c:pt>
                <c:pt idx="220">
                  <c:v>690</c:v>
                </c:pt>
                <c:pt idx="221">
                  <c:v>692</c:v>
                </c:pt>
                <c:pt idx="222">
                  <c:v>694</c:v>
                </c:pt>
                <c:pt idx="223">
                  <c:v>696</c:v>
                </c:pt>
                <c:pt idx="224">
                  <c:v>698</c:v>
                </c:pt>
                <c:pt idx="225">
                  <c:v>700</c:v>
                </c:pt>
                <c:pt idx="226">
                  <c:v>702</c:v>
                </c:pt>
                <c:pt idx="227">
                  <c:v>704</c:v>
                </c:pt>
                <c:pt idx="228">
                  <c:v>706</c:v>
                </c:pt>
                <c:pt idx="229">
                  <c:v>708</c:v>
                </c:pt>
                <c:pt idx="230">
                  <c:v>710</c:v>
                </c:pt>
                <c:pt idx="231">
                  <c:v>712</c:v>
                </c:pt>
                <c:pt idx="232">
                  <c:v>714</c:v>
                </c:pt>
                <c:pt idx="233">
                  <c:v>716</c:v>
                </c:pt>
                <c:pt idx="234">
                  <c:v>718</c:v>
                </c:pt>
                <c:pt idx="235">
                  <c:v>720</c:v>
                </c:pt>
                <c:pt idx="236">
                  <c:v>722</c:v>
                </c:pt>
                <c:pt idx="237">
                  <c:v>724</c:v>
                </c:pt>
                <c:pt idx="238">
                  <c:v>726</c:v>
                </c:pt>
                <c:pt idx="239">
                  <c:v>728</c:v>
                </c:pt>
                <c:pt idx="240">
                  <c:v>730</c:v>
                </c:pt>
                <c:pt idx="241">
                  <c:v>732</c:v>
                </c:pt>
                <c:pt idx="242">
                  <c:v>734</c:v>
                </c:pt>
                <c:pt idx="243">
                  <c:v>736</c:v>
                </c:pt>
                <c:pt idx="244">
                  <c:v>738</c:v>
                </c:pt>
                <c:pt idx="245">
                  <c:v>740</c:v>
                </c:pt>
                <c:pt idx="246">
                  <c:v>742</c:v>
                </c:pt>
                <c:pt idx="247">
                  <c:v>744</c:v>
                </c:pt>
                <c:pt idx="248">
                  <c:v>746</c:v>
                </c:pt>
                <c:pt idx="249">
                  <c:v>748</c:v>
                </c:pt>
                <c:pt idx="250">
                  <c:v>750</c:v>
                </c:pt>
                <c:pt idx="251">
                  <c:v>752</c:v>
                </c:pt>
                <c:pt idx="252">
                  <c:v>754</c:v>
                </c:pt>
                <c:pt idx="253">
                  <c:v>756</c:v>
                </c:pt>
                <c:pt idx="254">
                  <c:v>758</c:v>
                </c:pt>
                <c:pt idx="255">
                  <c:v>760</c:v>
                </c:pt>
                <c:pt idx="256">
                  <c:v>762</c:v>
                </c:pt>
                <c:pt idx="257">
                  <c:v>764</c:v>
                </c:pt>
                <c:pt idx="258">
                  <c:v>766</c:v>
                </c:pt>
                <c:pt idx="259">
                  <c:v>768</c:v>
                </c:pt>
                <c:pt idx="260">
                  <c:v>770</c:v>
                </c:pt>
                <c:pt idx="261">
                  <c:v>772</c:v>
                </c:pt>
                <c:pt idx="262">
                  <c:v>774</c:v>
                </c:pt>
                <c:pt idx="263">
                  <c:v>776</c:v>
                </c:pt>
                <c:pt idx="264">
                  <c:v>778</c:v>
                </c:pt>
                <c:pt idx="265">
                  <c:v>780</c:v>
                </c:pt>
                <c:pt idx="266">
                  <c:v>782</c:v>
                </c:pt>
                <c:pt idx="267">
                  <c:v>784</c:v>
                </c:pt>
                <c:pt idx="268">
                  <c:v>786</c:v>
                </c:pt>
                <c:pt idx="269">
                  <c:v>788</c:v>
                </c:pt>
                <c:pt idx="270">
                  <c:v>790</c:v>
                </c:pt>
                <c:pt idx="271">
                  <c:v>792</c:v>
                </c:pt>
                <c:pt idx="272">
                  <c:v>794</c:v>
                </c:pt>
                <c:pt idx="273">
                  <c:v>796</c:v>
                </c:pt>
                <c:pt idx="274">
                  <c:v>798</c:v>
                </c:pt>
                <c:pt idx="275">
                  <c:v>800</c:v>
                </c:pt>
                <c:pt idx="276">
                  <c:v>802</c:v>
                </c:pt>
                <c:pt idx="277">
                  <c:v>804</c:v>
                </c:pt>
                <c:pt idx="278">
                  <c:v>806</c:v>
                </c:pt>
                <c:pt idx="279">
                  <c:v>808</c:v>
                </c:pt>
                <c:pt idx="280">
                  <c:v>810</c:v>
                </c:pt>
                <c:pt idx="281">
                  <c:v>812</c:v>
                </c:pt>
                <c:pt idx="282">
                  <c:v>814</c:v>
                </c:pt>
                <c:pt idx="283">
                  <c:v>816</c:v>
                </c:pt>
                <c:pt idx="284">
                  <c:v>818</c:v>
                </c:pt>
                <c:pt idx="285">
                  <c:v>820</c:v>
                </c:pt>
                <c:pt idx="286">
                  <c:v>822</c:v>
                </c:pt>
                <c:pt idx="287">
                  <c:v>824</c:v>
                </c:pt>
                <c:pt idx="288">
                  <c:v>826</c:v>
                </c:pt>
                <c:pt idx="289">
                  <c:v>828</c:v>
                </c:pt>
                <c:pt idx="290">
                  <c:v>830</c:v>
                </c:pt>
                <c:pt idx="291">
                  <c:v>832</c:v>
                </c:pt>
                <c:pt idx="292">
                  <c:v>834</c:v>
                </c:pt>
                <c:pt idx="293">
                  <c:v>836</c:v>
                </c:pt>
                <c:pt idx="294">
                  <c:v>838</c:v>
                </c:pt>
                <c:pt idx="295">
                  <c:v>840</c:v>
                </c:pt>
                <c:pt idx="296">
                  <c:v>842</c:v>
                </c:pt>
                <c:pt idx="297">
                  <c:v>844</c:v>
                </c:pt>
                <c:pt idx="298">
                  <c:v>846</c:v>
                </c:pt>
                <c:pt idx="299">
                  <c:v>848</c:v>
                </c:pt>
                <c:pt idx="300">
                  <c:v>850</c:v>
                </c:pt>
                <c:pt idx="301">
                  <c:v>852</c:v>
                </c:pt>
                <c:pt idx="302">
                  <c:v>854</c:v>
                </c:pt>
                <c:pt idx="303">
                  <c:v>856</c:v>
                </c:pt>
                <c:pt idx="304">
                  <c:v>858</c:v>
                </c:pt>
                <c:pt idx="305">
                  <c:v>860</c:v>
                </c:pt>
                <c:pt idx="306">
                  <c:v>862</c:v>
                </c:pt>
                <c:pt idx="307">
                  <c:v>864</c:v>
                </c:pt>
                <c:pt idx="308">
                  <c:v>866</c:v>
                </c:pt>
                <c:pt idx="309">
                  <c:v>868</c:v>
                </c:pt>
                <c:pt idx="310">
                  <c:v>870</c:v>
                </c:pt>
                <c:pt idx="311">
                  <c:v>872</c:v>
                </c:pt>
                <c:pt idx="312">
                  <c:v>874</c:v>
                </c:pt>
                <c:pt idx="313">
                  <c:v>876</c:v>
                </c:pt>
                <c:pt idx="314">
                  <c:v>878</c:v>
                </c:pt>
                <c:pt idx="315">
                  <c:v>880</c:v>
                </c:pt>
                <c:pt idx="316">
                  <c:v>882</c:v>
                </c:pt>
                <c:pt idx="317">
                  <c:v>884</c:v>
                </c:pt>
                <c:pt idx="318">
                  <c:v>886</c:v>
                </c:pt>
                <c:pt idx="319">
                  <c:v>888</c:v>
                </c:pt>
                <c:pt idx="320">
                  <c:v>890</c:v>
                </c:pt>
                <c:pt idx="321">
                  <c:v>892</c:v>
                </c:pt>
                <c:pt idx="322">
                  <c:v>894</c:v>
                </c:pt>
                <c:pt idx="323">
                  <c:v>896</c:v>
                </c:pt>
                <c:pt idx="324">
                  <c:v>898</c:v>
                </c:pt>
                <c:pt idx="325">
                  <c:v>900</c:v>
                </c:pt>
                <c:pt idx="326">
                  <c:v>902</c:v>
                </c:pt>
                <c:pt idx="327">
                  <c:v>904</c:v>
                </c:pt>
                <c:pt idx="328">
                  <c:v>906</c:v>
                </c:pt>
                <c:pt idx="329">
                  <c:v>908</c:v>
                </c:pt>
                <c:pt idx="330">
                  <c:v>910</c:v>
                </c:pt>
                <c:pt idx="331">
                  <c:v>912</c:v>
                </c:pt>
                <c:pt idx="332">
                  <c:v>914</c:v>
                </c:pt>
                <c:pt idx="333">
                  <c:v>916</c:v>
                </c:pt>
                <c:pt idx="334">
                  <c:v>918</c:v>
                </c:pt>
                <c:pt idx="335">
                  <c:v>920</c:v>
                </c:pt>
                <c:pt idx="336">
                  <c:v>922</c:v>
                </c:pt>
                <c:pt idx="337">
                  <c:v>924</c:v>
                </c:pt>
                <c:pt idx="338">
                  <c:v>926</c:v>
                </c:pt>
                <c:pt idx="339">
                  <c:v>928</c:v>
                </c:pt>
                <c:pt idx="340">
                  <c:v>930</c:v>
                </c:pt>
                <c:pt idx="341">
                  <c:v>932</c:v>
                </c:pt>
                <c:pt idx="342">
                  <c:v>934</c:v>
                </c:pt>
                <c:pt idx="343">
                  <c:v>936</c:v>
                </c:pt>
                <c:pt idx="344">
                  <c:v>938</c:v>
                </c:pt>
                <c:pt idx="345">
                  <c:v>940</c:v>
                </c:pt>
                <c:pt idx="346">
                  <c:v>942</c:v>
                </c:pt>
                <c:pt idx="347">
                  <c:v>944</c:v>
                </c:pt>
                <c:pt idx="348">
                  <c:v>946</c:v>
                </c:pt>
                <c:pt idx="349">
                  <c:v>948</c:v>
                </c:pt>
                <c:pt idx="350">
                  <c:v>950</c:v>
                </c:pt>
                <c:pt idx="351">
                  <c:v>952</c:v>
                </c:pt>
                <c:pt idx="352">
                  <c:v>954</c:v>
                </c:pt>
                <c:pt idx="353">
                  <c:v>956</c:v>
                </c:pt>
                <c:pt idx="354">
                  <c:v>958</c:v>
                </c:pt>
                <c:pt idx="355">
                  <c:v>960</c:v>
                </c:pt>
                <c:pt idx="356">
                  <c:v>962</c:v>
                </c:pt>
                <c:pt idx="357">
                  <c:v>964</c:v>
                </c:pt>
                <c:pt idx="358">
                  <c:v>966</c:v>
                </c:pt>
                <c:pt idx="359">
                  <c:v>968</c:v>
                </c:pt>
                <c:pt idx="360">
                  <c:v>970</c:v>
                </c:pt>
                <c:pt idx="361">
                  <c:v>972</c:v>
                </c:pt>
                <c:pt idx="362">
                  <c:v>974</c:v>
                </c:pt>
                <c:pt idx="363">
                  <c:v>976</c:v>
                </c:pt>
                <c:pt idx="364">
                  <c:v>978</c:v>
                </c:pt>
                <c:pt idx="365">
                  <c:v>980</c:v>
                </c:pt>
                <c:pt idx="366">
                  <c:v>982</c:v>
                </c:pt>
                <c:pt idx="367">
                  <c:v>984</c:v>
                </c:pt>
                <c:pt idx="368">
                  <c:v>986</c:v>
                </c:pt>
                <c:pt idx="369">
                  <c:v>988</c:v>
                </c:pt>
                <c:pt idx="370">
                  <c:v>990</c:v>
                </c:pt>
                <c:pt idx="371">
                  <c:v>992</c:v>
                </c:pt>
                <c:pt idx="372">
                  <c:v>994</c:v>
                </c:pt>
                <c:pt idx="373">
                  <c:v>996</c:v>
                </c:pt>
                <c:pt idx="374">
                  <c:v>998</c:v>
                </c:pt>
                <c:pt idx="375">
                  <c:v>1000</c:v>
                </c:pt>
                <c:pt idx="376">
                  <c:v>1002</c:v>
                </c:pt>
                <c:pt idx="377">
                  <c:v>1004</c:v>
                </c:pt>
                <c:pt idx="378">
                  <c:v>1006</c:v>
                </c:pt>
                <c:pt idx="379">
                  <c:v>1008</c:v>
                </c:pt>
                <c:pt idx="380">
                  <c:v>1010</c:v>
                </c:pt>
                <c:pt idx="381">
                  <c:v>1012</c:v>
                </c:pt>
                <c:pt idx="382">
                  <c:v>1014</c:v>
                </c:pt>
                <c:pt idx="383">
                  <c:v>1016</c:v>
                </c:pt>
                <c:pt idx="384">
                  <c:v>1018</c:v>
                </c:pt>
                <c:pt idx="385">
                  <c:v>1020</c:v>
                </c:pt>
                <c:pt idx="386">
                  <c:v>1022</c:v>
                </c:pt>
                <c:pt idx="387">
                  <c:v>1024</c:v>
                </c:pt>
                <c:pt idx="388">
                  <c:v>1026</c:v>
                </c:pt>
                <c:pt idx="389">
                  <c:v>1028</c:v>
                </c:pt>
                <c:pt idx="390">
                  <c:v>1030</c:v>
                </c:pt>
                <c:pt idx="391">
                  <c:v>1032</c:v>
                </c:pt>
                <c:pt idx="392">
                  <c:v>1034</c:v>
                </c:pt>
                <c:pt idx="393">
                  <c:v>1036</c:v>
                </c:pt>
                <c:pt idx="394">
                  <c:v>1038</c:v>
                </c:pt>
                <c:pt idx="395">
                  <c:v>1040</c:v>
                </c:pt>
                <c:pt idx="396">
                  <c:v>1042</c:v>
                </c:pt>
                <c:pt idx="397">
                  <c:v>1044</c:v>
                </c:pt>
                <c:pt idx="398">
                  <c:v>1046</c:v>
                </c:pt>
                <c:pt idx="399">
                  <c:v>1048</c:v>
                </c:pt>
                <c:pt idx="400">
                  <c:v>1050</c:v>
                </c:pt>
                <c:pt idx="401">
                  <c:v>1052</c:v>
                </c:pt>
                <c:pt idx="402">
                  <c:v>1054</c:v>
                </c:pt>
                <c:pt idx="403">
                  <c:v>1056</c:v>
                </c:pt>
                <c:pt idx="404">
                  <c:v>1058</c:v>
                </c:pt>
                <c:pt idx="405">
                  <c:v>1060</c:v>
                </c:pt>
                <c:pt idx="406">
                  <c:v>1062</c:v>
                </c:pt>
                <c:pt idx="407">
                  <c:v>1064</c:v>
                </c:pt>
                <c:pt idx="408">
                  <c:v>1066</c:v>
                </c:pt>
                <c:pt idx="409">
                  <c:v>1068</c:v>
                </c:pt>
                <c:pt idx="410">
                  <c:v>1070</c:v>
                </c:pt>
                <c:pt idx="411">
                  <c:v>1072</c:v>
                </c:pt>
                <c:pt idx="412">
                  <c:v>1074</c:v>
                </c:pt>
                <c:pt idx="413">
                  <c:v>1076</c:v>
                </c:pt>
                <c:pt idx="414">
                  <c:v>1078</c:v>
                </c:pt>
                <c:pt idx="415">
                  <c:v>1080</c:v>
                </c:pt>
                <c:pt idx="416">
                  <c:v>1082</c:v>
                </c:pt>
                <c:pt idx="417">
                  <c:v>1084</c:v>
                </c:pt>
                <c:pt idx="418">
                  <c:v>1086</c:v>
                </c:pt>
                <c:pt idx="419">
                  <c:v>1088</c:v>
                </c:pt>
                <c:pt idx="420">
                  <c:v>1090</c:v>
                </c:pt>
                <c:pt idx="421">
                  <c:v>1092</c:v>
                </c:pt>
                <c:pt idx="422">
                  <c:v>1094</c:v>
                </c:pt>
                <c:pt idx="423">
                  <c:v>1096</c:v>
                </c:pt>
                <c:pt idx="424">
                  <c:v>1098</c:v>
                </c:pt>
                <c:pt idx="425">
                  <c:v>1100</c:v>
                </c:pt>
                <c:pt idx="426">
                  <c:v>1102</c:v>
                </c:pt>
                <c:pt idx="427">
                  <c:v>1104</c:v>
                </c:pt>
                <c:pt idx="428">
                  <c:v>1106</c:v>
                </c:pt>
                <c:pt idx="429">
                  <c:v>1108</c:v>
                </c:pt>
                <c:pt idx="430">
                  <c:v>1110</c:v>
                </c:pt>
                <c:pt idx="431">
                  <c:v>1112</c:v>
                </c:pt>
                <c:pt idx="432">
                  <c:v>1114</c:v>
                </c:pt>
                <c:pt idx="433">
                  <c:v>1116</c:v>
                </c:pt>
                <c:pt idx="434">
                  <c:v>1118</c:v>
                </c:pt>
                <c:pt idx="435">
                  <c:v>1120</c:v>
                </c:pt>
                <c:pt idx="436">
                  <c:v>1122</c:v>
                </c:pt>
                <c:pt idx="437">
                  <c:v>1124</c:v>
                </c:pt>
                <c:pt idx="438">
                  <c:v>1126</c:v>
                </c:pt>
                <c:pt idx="439">
                  <c:v>1128</c:v>
                </c:pt>
                <c:pt idx="440">
                  <c:v>1130</c:v>
                </c:pt>
                <c:pt idx="441">
                  <c:v>1132</c:v>
                </c:pt>
                <c:pt idx="442">
                  <c:v>1134</c:v>
                </c:pt>
                <c:pt idx="443">
                  <c:v>1136</c:v>
                </c:pt>
                <c:pt idx="444">
                  <c:v>1138</c:v>
                </c:pt>
                <c:pt idx="445">
                  <c:v>1140</c:v>
                </c:pt>
                <c:pt idx="446">
                  <c:v>1142</c:v>
                </c:pt>
                <c:pt idx="447">
                  <c:v>1144</c:v>
                </c:pt>
                <c:pt idx="448">
                  <c:v>1146</c:v>
                </c:pt>
                <c:pt idx="449">
                  <c:v>1148</c:v>
                </c:pt>
                <c:pt idx="450">
                  <c:v>1150</c:v>
                </c:pt>
                <c:pt idx="451">
                  <c:v>1152</c:v>
                </c:pt>
                <c:pt idx="452">
                  <c:v>1154</c:v>
                </c:pt>
                <c:pt idx="453">
                  <c:v>1156</c:v>
                </c:pt>
                <c:pt idx="454">
                  <c:v>1158</c:v>
                </c:pt>
                <c:pt idx="455">
                  <c:v>1160</c:v>
                </c:pt>
                <c:pt idx="456">
                  <c:v>1162</c:v>
                </c:pt>
                <c:pt idx="457">
                  <c:v>1164</c:v>
                </c:pt>
                <c:pt idx="458">
                  <c:v>1166</c:v>
                </c:pt>
                <c:pt idx="459">
                  <c:v>1168</c:v>
                </c:pt>
                <c:pt idx="460">
                  <c:v>1170</c:v>
                </c:pt>
                <c:pt idx="461">
                  <c:v>1172</c:v>
                </c:pt>
                <c:pt idx="462">
                  <c:v>1174</c:v>
                </c:pt>
                <c:pt idx="463">
                  <c:v>1176</c:v>
                </c:pt>
                <c:pt idx="464">
                  <c:v>1178</c:v>
                </c:pt>
                <c:pt idx="465">
                  <c:v>1180</c:v>
                </c:pt>
                <c:pt idx="466">
                  <c:v>1182</c:v>
                </c:pt>
                <c:pt idx="467">
                  <c:v>1184</c:v>
                </c:pt>
                <c:pt idx="468">
                  <c:v>1186</c:v>
                </c:pt>
                <c:pt idx="469">
                  <c:v>1188</c:v>
                </c:pt>
                <c:pt idx="470">
                  <c:v>1190</c:v>
                </c:pt>
                <c:pt idx="471">
                  <c:v>1192</c:v>
                </c:pt>
                <c:pt idx="472">
                  <c:v>1194</c:v>
                </c:pt>
                <c:pt idx="473">
                  <c:v>1196</c:v>
                </c:pt>
                <c:pt idx="474">
                  <c:v>1198</c:v>
                </c:pt>
                <c:pt idx="475">
                  <c:v>1200</c:v>
                </c:pt>
                <c:pt idx="476">
                  <c:v>1202</c:v>
                </c:pt>
                <c:pt idx="477">
                  <c:v>1204</c:v>
                </c:pt>
                <c:pt idx="478">
                  <c:v>1206</c:v>
                </c:pt>
                <c:pt idx="479">
                  <c:v>1208</c:v>
                </c:pt>
                <c:pt idx="480">
                  <c:v>1210</c:v>
                </c:pt>
                <c:pt idx="481">
                  <c:v>1212</c:v>
                </c:pt>
                <c:pt idx="482">
                  <c:v>1214</c:v>
                </c:pt>
                <c:pt idx="483">
                  <c:v>1216</c:v>
                </c:pt>
                <c:pt idx="484">
                  <c:v>1218</c:v>
                </c:pt>
                <c:pt idx="485">
                  <c:v>1220</c:v>
                </c:pt>
                <c:pt idx="486">
                  <c:v>1222</c:v>
                </c:pt>
                <c:pt idx="487">
                  <c:v>1224</c:v>
                </c:pt>
                <c:pt idx="488">
                  <c:v>1226</c:v>
                </c:pt>
                <c:pt idx="489">
                  <c:v>1228</c:v>
                </c:pt>
                <c:pt idx="490">
                  <c:v>1230</c:v>
                </c:pt>
                <c:pt idx="491">
                  <c:v>1232</c:v>
                </c:pt>
                <c:pt idx="492">
                  <c:v>1234</c:v>
                </c:pt>
                <c:pt idx="493">
                  <c:v>1236</c:v>
                </c:pt>
                <c:pt idx="494">
                  <c:v>1238</c:v>
                </c:pt>
                <c:pt idx="495">
                  <c:v>1240</c:v>
                </c:pt>
                <c:pt idx="496">
                  <c:v>1242</c:v>
                </c:pt>
                <c:pt idx="497">
                  <c:v>1244</c:v>
                </c:pt>
                <c:pt idx="498">
                  <c:v>1246</c:v>
                </c:pt>
                <c:pt idx="499">
                  <c:v>1248</c:v>
                </c:pt>
                <c:pt idx="500">
                  <c:v>1250</c:v>
                </c:pt>
                <c:pt idx="501">
                  <c:v>1252</c:v>
                </c:pt>
                <c:pt idx="502">
                  <c:v>1254</c:v>
                </c:pt>
                <c:pt idx="503">
                  <c:v>1256</c:v>
                </c:pt>
                <c:pt idx="504">
                  <c:v>1258</c:v>
                </c:pt>
                <c:pt idx="505">
                  <c:v>1260</c:v>
                </c:pt>
                <c:pt idx="506">
                  <c:v>1262</c:v>
                </c:pt>
                <c:pt idx="507">
                  <c:v>1264</c:v>
                </c:pt>
                <c:pt idx="508">
                  <c:v>1266</c:v>
                </c:pt>
                <c:pt idx="509">
                  <c:v>1268</c:v>
                </c:pt>
                <c:pt idx="510">
                  <c:v>1270</c:v>
                </c:pt>
                <c:pt idx="511">
                  <c:v>1272</c:v>
                </c:pt>
                <c:pt idx="512">
                  <c:v>1274</c:v>
                </c:pt>
                <c:pt idx="513">
                  <c:v>1276</c:v>
                </c:pt>
                <c:pt idx="514">
                  <c:v>1278</c:v>
                </c:pt>
                <c:pt idx="515">
                  <c:v>1280</c:v>
                </c:pt>
                <c:pt idx="516">
                  <c:v>1282</c:v>
                </c:pt>
                <c:pt idx="517">
                  <c:v>1284</c:v>
                </c:pt>
                <c:pt idx="518">
                  <c:v>1286</c:v>
                </c:pt>
                <c:pt idx="519">
                  <c:v>1288</c:v>
                </c:pt>
                <c:pt idx="520">
                  <c:v>1290</c:v>
                </c:pt>
                <c:pt idx="521">
                  <c:v>1292</c:v>
                </c:pt>
                <c:pt idx="522">
                  <c:v>1294</c:v>
                </c:pt>
                <c:pt idx="523">
                  <c:v>1296</c:v>
                </c:pt>
                <c:pt idx="524">
                  <c:v>1298</c:v>
                </c:pt>
                <c:pt idx="525">
                  <c:v>1300</c:v>
                </c:pt>
                <c:pt idx="526">
                  <c:v>1302</c:v>
                </c:pt>
                <c:pt idx="527">
                  <c:v>1304</c:v>
                </c:pt>
                <c:pt idx="528">
                  <c:v>1306</c:v>
                </c:pt>
                <c:pt idx="529">
                  <c:v>1308</c:v>
                </c:pt>
                <c:pt idx="530">
                  <c:v>1310</c:v>
                </c:pt>
                <c:pt idx="531">
                  <c:v>1312</c:v>
                </c:pt>
                <c:pt idx="532">
                  <c:v>1314</c:v>
                </c:pt>
                <c:pt idx="533">
                  <c:v>1316</c:v>
                </c:pt>
                <c:pt idx="534">
                  <c:v>1318</c:v>
                </c:pt>
                <c:pt idx="535">
                  <c:v>1320</c:v>
                </c:pt>
                <c:pt idx="536">
                  <c:v>1322</c:v>
                </c:pt>
                <c:pt idx="537">
                  <c:v>1324</c:v>
                </c:pt>
                <c:pt idx="538">
                  <c:v>1326</c:v>
                </c:pt>
                <c:pt idx="539">
                  <c:v>1328</c:v>
                </c:pt>
                <c:pt idx="540">
                  <c:v>1330</c:v>
                </c:pt>
                <c:pt idx="541">
                  <c:v>1332</c:v>
                </c:pt>
                <c:pt idx="542">
                  <c:v>1334</c:v>
                </c:pt>
                <c:pt idx="543">
                  <c:v>1336</c:v>
                </c:pt>
                <c:pt idx="544">
                  <c:v>1338</c:v>
                </c:pt>
                <c:pt idx="545">
                  <c:v>1340</c:v>
                </c:pt>
                <c:pt idx="546">
                  <c:v>1342</c:v>
                </c:pt>
                <c:pt idx="547">
                  <c:v>1344</c:v>
                </c:pt>
                <c:pt idx="548">
                  <c:v>1346</c:v>
                </c:pt>
                <c:pt idx="549">
                  <c:v>1348</c:v>
                </c:pt>
                <c:pt idx="550">
                  <c:v>1350</c:v>
                </c:pt>
                <c:pt idx="551">
                  <c:v>1352</c:v>
                </c:pt>
                <c:pt idx="552">
                  <c:v>1354</c:v>
                </c:pt>
                <c:pt idx="553">
                  <c:v>1356</c:v>
                </c:pt>
                <c:pt idx="554">
                  <c:v>1358</c:v>
                </c:pt>
                <c:pt idx="555">
                  <c:v>1360</c:v>
                </c:pt>
                <c:pt idx="556">
                  <c:v>1362</c:v>
                </c:pt>
                <c:pt idx="557">
                  <c:v>1364</c:v>
                </c:pt>
                <c:pt idx="558">
                  <c:v>1366</c:v>
                </c:pt>
                <c:pt idx="559">
                  <c:v>1368</c:v>
                </c:pt>
                <c:pt idx="560">
                  <c:v>1370</c:v>
                </c:pt>
                <c:pt idx="561">
                  <c:v>1372</c:v>
                </c:pt>
                <c:pt idx="562">
                  <c:v>1374</c:v>
                </c:pt>
                <c:pt idx="563">
                  <c:v>1376</c:v>
                </c:pt>
                <c:pt idx="564">
                  <c:v>1378</c:v>
                </c:pt>
                <c:pt idx="565">
                  <c:v>1380</c:v>
                </c:pt>
                <c:pt idx="566">
                  <c:v>1382</c:v>
                </c:pt>
                <c:pt idx="567">
                  <c:v>1384</c:v>
                </c:pt>
                <c:pt idx="568">
                  <c:v>1386</c:v>
                </c:pt>
                <c:pt idx="569">
                  <c:v>1388</c:v>
                </c:pt>
                <c:pt idx="570">
                  <c:v>1390</c:v>
                </c:pt>
                <c:pt idx="571">
                  <c:v>1392</c:v>
                </c:pt>
                <c:pt idx="572">
                  <c:v>1394</c:v>
                </c:pt>
                <c:pt idx="573">
                  <c:v>1396</c:v>
                </c:pt>
                <c:pt idx="574">
                  <c:v>1398</c:v>
                </c:pt>
                <c:pt idx="575">
                  <c:v>1400</c:v>
                </c:pt>
              </c:numCache>
            </c:numRef>
          </c:yVal>
          <c:smooth val="0"/>
        </c:ser>
        <c:ser>
          <c:idx val="1"/>
          <c:order val="1"/>
          <c:tx>
            <c:v>P_max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data'!$E$8:$E$758</c:f>
              <c:numCache>
                <c:ptCount val="751"/>
                <c:pt idx="0">
                  <c:v>6.287888765610585</c:v>
                </c:pt>
                <c:pt idx="1">
                  <c:v>6.295882724354119</c:v>
                </c:pt>
                <c:pt idx="2">
                  <c:v>6.303813383562705</c:v>
                </c:pt>
                <c:pt idx="3">
                  <c:v>6.311681771270911</c:v>
                </c:pt>
                <c:pt idx="4">
                  <c:v>6.319488891336992</c:v>
                </c:pt>
                <c:pt idx="5">
                  <c:v>6.327235724189915</c:v>
                </c:pt>
                <c:pt idx="6">
                  <c:v>6.334923227547733</c:v>
                </c:pt>
                <c:pt idx="7">
                  <c:v>6.342552337108674</c:v>
                </c:pt>
                <c:pt idx="8">
                  <c:v>6.35012396721613</c:v>
                </c:pt>
                <c:pt idx="9">
                  <c:v>6.357639011498747</c:v>
                </c:pt>
                <c:pt idx="10">
                  <c:v>6.365098343486718</c:v>
                </c:pt>
                <c:pt idx="11">
                  <c:v>6.372502817205339</c:v>
                </c:pt>
                <c:pt idx="12">
                  <c:v>6.379853267746801</c:v>
                </c:pt>
                <c:pt idx="13">
                  <c:v>6.38715051182123</c:v>
                </c:pt>
                <c:pt idx="14">
                  <c:v>6.394395348287789</c:v>
                </c:pt>
                <c:pt idx="15">
                  <c:v>6.401588558666766</c:v>
                </c:pt>
                <c:pt idx="16">
                  <c:v>6.408730907633449</c:v>
                </c:pt>
                <c:pt idx="17">
                  <c:v>6.415823143494512</c:v>
                </c:pt>
                <c:pt idx="18">
                  <c:v>6.4228659986477314</c:v>
                </c:pt>
                <c:pt idx="19">
                  <c:v>6.429860190025648</c:v>
                </c:pt>
                <c:pt idx="20">
                  <c:v>6.436806419523889</c:v>
                </c:pt>
                <c:pt idx="21">
                  <c:v>6.4437053744147805</c:v>
                </c:pt>
                <c:pt idx="22">
                  <c:v>6.450557727746827</c:v>
                </c:pt>
                <c:pt idx="23">
                  <c:v>6.457364138730662</c:v>
                </c:pt>
                <c:pt idx="24">
                  <c:v>6.46412525311199</c:v>
                </c:pt>
                <c:pt idx="25">
                  <c:v>6.470841703532068</c:v>
                </c:pt>
                <c:pt idx="26">
                  <c:v>6.477514109876208</c:v>
                </c:pt>
                <c:pt idx="27">
                  <c:v>6.484143079610766</c:v>
                </c:pt>
                <c:pt idx="28">
                  <c:v>6.4907292081091095</c:v>
                </c:pt>
                <c:pt idx="29">
                  <c:v>6.497273078966916</c:v>
                </c:pt>
                <c:pt idx="30">
                  <c:v>6.503775264307338</c:v>
                </c:pt>
                <c:pt idx="31">
                  <c:v>6.51023632507629</c:v>
                </c:pt>
                <c:pt idx="32">
                  <c:v>6.516656811328334</c:v>
                </c:pt>
                <c:pt idx="33">
                  <c:v>6.523037262503495</c:v>
                </c:pt>
                <c:pt idx="34">
                  <c:v>6.529378207695319</c:v>
                </c:pt>
                <c:pt idx="35">
                  <c:v>6.535680165910545</c:v>
                </c:pt>
                <c:pt idx="36">
                  <c:v>6.54194364632069</c:v>
                </c:pt>
                <c:pt idx="37">
                  <c:v>6.548169148505831</c:v>
                </c:pt>
                <c:pt idx="38">
                  <c:v>6.554357162690895</c:v>
                </c:pt>
                <c:pt idx="39">
                  <c:v>6.560508169974727</c:v>
                </c:pt>
                <c:pt idx="40">
                  <c:v>6.566622642552173</c:v>
                </c:pt>
                <c:pt idx="41">
                  <c:v>6.572701043929498</c:v>
                </c:pt>
                <c:pt idx="42">
                  <c:v>6.578743829133279</c:v>
                </c:pt>
                <c:pt idx="43">
                  <c:v>6.584751444913099</c:v>
                </c:pt>
                <c:pt idx="44">
                  <c:v>6.590724329938233</c:v>
                </c:pt>
                <c:pt idx="45">
                  <c:v>6.596662914988492</c:v>
                </c:pt>
                <c:pt idx="46">
                  <c:v>6.60256762313951</c:v>
                </c:pt>
                <c:pt idx="47">
                  <c:v>6.608438869942607</c:v>
                </c:pt>
                <c:pt idx="48">
                  <c:v>6.614277063599454</c:v>
                </c:pt>
                <c:pt idx="49">
                  <c:v>6.620082605131678</c:v>
                </c:pt>
                <c:pt idx="50">
                  <c:v>6.625855888545641</c:v>
                </c:pt>
                <c:pt idx="51">
                  <c:v>6.631597300992507</c:v>
                </c:pt>
                <c:pt idx="52">
                  <c:v>6.637307222923761</c:v>
                </c:pt>
                <c:pt idx="53">
                  <c:v>6.642986028242377</c:v>
                </c:pt>
                <c:pt idx="54">
                  <c:v>6.648634084449732</c:v>
                </c:pt>
                <c:pt idx="55">
                  <c:v>6.65425175278842</c:v>
                </c:pt>
                <c:pt idx="56">
                  <c:v>6.659839388381142</c:v>
                </c:pt>
                <c:pt idx="57">
                  <c:v>6.665397340365733</c:v>
                </c:pt>
                <c:pt idx="58">
                  <c:v>6.670925952026513</c:v>
                </c:pt>
                <c:pt idx="59">
                  <c:v>6.676425560922049</c:v>
                </c:pt>
                <c:pt idx="60">
                  <c:v>6.681896499009457</c:v>
                </c:pt>
                <c:pt idx="61">
                  <c:v>6.687339092765362</c:v>
                </c:pt>
                <c:pt idx="62">
                  <c:v>6.69275366330359</c:v>
                </c:pt>
                <c:pt idx="63">
                  <c:v>6.6981405264897536</c:v>
                </c:pt>
                <c:pt idx="64">
                  <c:v>6.703499993052781</c:v>
                </c:pt>
                <c:pt idx="65">
                  <c:v>6.708832368693494</c:v>
                </c:pt>
                <c:pt idx="66">
                  <c:v>6.714137954190359</c:v>
                </c:pt>
                <c:pt idx="67">
                  <c:v>6.719417045502455</c:v>
                </c:pt>
                <c:pt idx="68">
                  <c:v>6.724669933869784</c:v>
                </c:pt>
                <c:pt idx="69">
                  <c:v>6.729896905910969</c:v>
                </c:pt>
                <c:pt idx="70">
                  <c:v>6.735098243718468</c:v>
                </c:pt>
                <c:pt idx="71">
                  <c:v>6.74027422495133</c:v>
                </c:pt>
                <c:pt idx="72">
                  <c:v>6.7454251229255995</c:v>
                </c:pt>
                <c:pt idx="73">
                  <c:v>6.750551206702427</c:v>
                </c:pt>
                <c:pt idx="74">
                  <c:v>6.755652741173975</c:v>
                </c:pt>
                <c:pt idx="75">
                  <c:v>6.760729987147152</c:v>
                </c:pt>
                <c:pt idx="76">
                  <c:v>6.765783201425269</c:v>
                </c:pt>
                <c:pt idx="77">
                  <c:v>6.770812636887669</c:v>
                </c:pt>
                <c:pt idx="78">
                  <c:v>6.775818542567381</c:v>
                </c:pt>
                <c:pt idx="79">
                  <c:v>6.780801163726892</c:v>
                </c:pt>
                <c:pt idx="80">
                  <c:v>6.785760741932023</c:v>
                </c:pt>
                <c:pt idx="81">
                  <c:v>6.790697515124055</c:v>
                </c:pt>
                <c:pt idx="82">
                  <c:v>6.795611717690075</c:v>
                </c:pt>
                <c:pt idx="83">
                  <c:v>6.800503580531636</c:v>
                </c:pt>
                <c:pt idx="84">
                  <c:v>6.805373331131787</c:v>
                </c:pt>
                <c:pt idx="85">
                  <c:v>6.810221193620466</c:v>
                </c:pt>
                <c:pt idx="86">
                  <c:v>6.815047388838388</c:v>
                </c:pt>
                <c:pt idx="87">
                  <c:v>6.819852134399375</c:v>
                </c:pt>
                <c:pt idx="88">
                  <c:v>6.824635644751256</c:v>
                </c:pt>
                <c:pt idx="89">
                  <c:v>6.829398131235317</c:v>
                </c:pt>
                <c:pt idx="90">
                  <c:v>6.834139802144385</c:v>
                </c:pt>
                <c:pt idx="91">
                  <c:v>6.838860862779545</c:v>
                </c:pt>
                <c:pt idx="92">
                  <c:v>6.843561515505558</c:v>
                </c:pt>
                <c:pt idx="93">
                  <c:v>6.848241959805003</c:v>
                </c:pt>
                <c:pt idx="94">
                  <c:v>6.852902392331185</c:v>
                </c:pt>
                <c:pt idx="95">
                  <c:v>6.857543006959821</c:v>
                </c:pt>
                <c:pt idx="96">
                  <c:v>6.862163994839583</c:v>
                </c:pt>
                <c:pt idx="97">
                  <c:v>6.866765544441469</c:v>
                </c:pt>
                <c:pt idx="98">
                  <c:v>6.8713478416070775</c:v>
                </c:pt>
                <c:pt idx="99">
                  <c:v>6.875911069595814</c:v>
                </c:pt>
                <c:pt idx="100">
                  <c:v>6.880455409131029</c:v>
                </c:pt>
                <c:pt idx="101">
                  <c:v>6.884981038445138</c:v>
                </c:pt>
                <c:pt idx="102">
                  <c:v>6.889488133323747</c:v>
                </c:pt>
                <c:pt idx="103">
                  <c:v>6.893976867148807</c:v>
                </c:pt>
                <c:pt idx="104">
                  <c:v>6.898447410940829</c:v>
                </c:pt>
                <c:pt idx="105">
                  <c:v>6.90289993340017</c:v>
                </c:pt>
                <c:pt idx="106">
                  <c:v>6.907334600947428</c:v>
                </c:pt>
                <c:pt idx="107">
                  <c:v>6.911751577762978</c:v>
                </c:pt>
                <c:pt idx="108">
                  <c:v>6.916151025825622</c:v>
                </c:pt>
                <c:pt idx="109">
                  <c:v>6.920533104950457</c:v>
                </c:pt>
                <c:pt idx="110">
                  <c:v>6.9248979728258915</c:v>
                </c:pt>
                <c:pt idx="111">
                  <c:v>6.929245785049921</c:v>
                </c:pt>
                <c:pt idx="112">
                  <c:v>6.933576695165593</c:v>
                </c:pt>
                <c:pt idx="113">
                  <c:v>6.937890854695752</c:v>
                </c:pt>
                <c:pt idx="114">
                  <c:v>6.942188413177055</c:v>
                </c:pt>
                <c:pt idx="115">
                  <c:v>6.9464695181932585</c:v>
                </c:pt>
                <c:pt idx="116">
                  <c:v>6.950734315407839</c:v>
                </c:pt>
                <c:pt idx="117">
                  <c:v>6.954982948595926</c:v>
                </c:pt>
                <c:pt idx="118">
                  <c:v>6.959215559675554</c:v>
                </c:pt>
                <c:pt idx="119">
                  <c:v>6.963432288738328</c:v>
                </c:pt>
                <c:pt idx="120">
                  <c:v>6.9676332740794</c:v>
                </c:pt>
                <c:pt idx="121">
                  <c:v>6.971818652226881</c:v>
                </c:pt>
                <c:pt idx="122">
                  <c:v>6.975988557970627</c:v>
                </c:pt>
                <c:pt idx="123">
                  <c:v>6.980143124390467</c:v>
                </c:pt>
                <c:pt idx="124">
                  <c:v>6.984282482883838</c:v>
                </c:pt>
                <c:pt idx="125">
                  <c:v>6.988406763192898</c:v>
                </c:pt>
                <c:pt idx="126">
                  <c:v>6.992516093431059</c:v>
                </c:pt>
                <c:pt idx="127">
                  <c:v>6.996610600109028</c:v>
                </c:pt>
                <c:pt idx="128">
                  <c:v>7.0006904081603025</c:v>
                </c:pt>
                <c:pt idx="129">
                  <c:v>7.0047556409662</c:v>
                </c:pt>
                <c:pt idx="130">
                  <c:v>7.008806420380354</c:v>
                </c:pt>
                <c:pt idx="131">
                  <c:v>7.012842866752758</c:v>
                </c:pt>
                <c:pt idx="132">
                  <c:v>7.016865098953329</c:v>
                </c:pt>
                <c:pt idx="133">
                  <c:v>7.020873234395022</c:v>
                </c:pt>
                <c:pt idx="134">
                  <c:v>7.024867389056495</c:v>
                </c:pt>
                <c:pt idx="135">
                  <c:v>7.028847677504331</c:v>
                </c:pt>
                <c:pt idx="136">
                  <c:v>7.032814212914832</c:v>
                </c:pt>
                <c:pt idx="137">
                  <c:v>7.036767107095412</c:v>
                </c:pt>
                <c:pt idx="138">
                  <c:v>7.040706470505571</c:v>
                </c:pt>
                <c:pt idx="139">
                  <c:v>7.044632412277469</c:v>
                </c:pt>
                <c:pt idx="140">
                  <c:v>7.048545040236115</c:v>
                </c:pt>
                <c:pt idx="141">
                  <c:v>7.052444460919175</c:v>
                </c:pt>
                <c:pt idx="142">
                  <c:v>7.056330779596411</c:v>
                </c:pt>
                <c:pt idx="143">
                  <c:v>7.060204100288754</c:v>
                </c:pt>
                <c:pt idx="144">
                  <c:v>7.064064525787022</c:v>
                </c:pt>
                <c:pt idx="145">
                  <c:v>7.067912157670287</c:v>
                </c:pt>
                <c:pt idx="146">
                  <c:v>7.071747096323912</c:v>
                </c:pt>
                <c:pt idx="147">
                  <c:v>7.075569440957249</c:v>
                </c:pt>
                <c:pt idx="148">
                  <c:v>7.07937928962101</c:v>
                </c:pt>
                <c:pt idx="149">
                  <c:v>7.083176739224325</c:v>
                </c:pt>
                <c:pt idx="150">
                  <c:v>7.086961885551497</c:v>
                </c:pt>
                <c:pt idx="151">
                  <c:v>7.090734823278429</c:v>
                </c:pt>
                <c:pt idx="152">
                  <c:v>7.094495645988777</c:v>
                </c:pt>
                <c:pt idx="153">
                  <c:v>7.0982444461898115</c:v>
                </c:pt>
                <c:pt idx="154">
                  <c:v>7.101981315327969</c:v>
                </c:pt>
                <c:pt idx="155">
                  <c:v>7.105706343804162</c:v>
                </c:pt>
                <c:pt idx="156">
                  <c:v>7.109419620988779</c:v>
                </c:pt>
                <c:pt idx="157">
                  <c:v>7.113121235236458</c:v>
                </c:pt>
                <c:pt idx="158">
                  <c:v>7.1168112739005505</c:v>
                </c:pt>
                <c:pt idx="159">
                  <c:v>7.120489823347378</c:v>
                </c:pt>
                <c:pt idx="160">
                  <c:v>7.12415696897021</c:v>
                </c:pt>
                <c:pt idx="161">
                  <c:v>7.127812795202998</c:v>
                </c:pt>
                <c:pt idx="162">
                  <c:v>7.131457385533884</c:v>
                </c:pt>
                <c:pt idx="163">
                  <c:v>7.135090822518462</c:v>
                </c:pt>
                <c:pt idx="164">
                  <c:v>7.138713187792807</c:v>
                </c:pt>
                <c:pt idx="165">
                  <c:v>7.1423245620863</c:v>
                </c:pt>
                <c:pt idx="166">
                  <c:v>7.145925025234207</c:v>
                </c:pt>
                <c:pt idx="167">
                  <c:v>7.149514656190051</c:v>
                </c:pt>
                <c:pt idx="168">
                  <c:v>7.153093533037779</c:v>
                </c:pt>
                <c:pt idx="169">
                  <c:v>7.156661733003726</c:v>
                </c:pt>
                <c:pt idx="170">
                  <c:v>7.160219332468341</c:v>
                </c:pt>
                <c:pt idx="171">
                  <c:v>7.16376640697777</c:v>
                </c:pt>
                <c:pt idx="172">
                  <c:v>7.167303031255191</c:v>
                </c:pt>
                <c:pt idx="173">
                  <c:v>7.170829279212001</c:v>
                </c:pt>
                <c:pt idx="174">
                  <c:v>7.17434522395878</c:v>
                </c:pt>
                <c:pt idx="175">
                  <c:v>7.177850937816099</c:v>
                </c:pt>
                <c:pt idx="176">
                  <c:v>7.181346492325128</c:v>
                </c:pt>
                <c:pt idx="177">
                  <c:v>7.184831958258089</c:v>
                </c:pt>
                <c:pt idx="178">
                  <c:v>7.188307405628513</c:v>
                </c:pt>
                <c:pt idx="179">
                  <c:v>7.191772903701353</c:v>
                </c:pt>
                <c:pt idx="180">
                  <c:v>7.1952285210029014</c:v>
                </c:pt>
                <c:pt idx="181">
                  <c:v>7.198674325330573</c:v>
                </c:pt>
                <c:pt idx="182">
                  <c:v>7.202110383762517</c:v>
                </c:pt>
                <c:pt idx="183">
                  <c:v>7.205536762667064</c:v>
                </c:pt>
                <c:pt idx="184">
                  <c:v>7.208953527712037</c:v>
                </c:pt>
                <c:pt idx="185">
                  <c:v>7.212360743873898</c:v>
                </c:pt>
                <c:pt idx="186">
                  <c:v>7.215758475446754</c:v>
                </c:pt>
                <c:pt idx="187">
                  <c:v>7.219146786051219</c:v>
                </c:pt>
                <c:pt idx="188">
                  <c:v>7.222525738643131</c:v>
                </c:pt>
                <c:pt idx="189">
                  <c:v>7.225895395522128</c:v>
                </c:pt>
                <c:pt idx="190">
                  <c:v>7.229255818340098</c:v>
                </c:pt>
                <c:pt idx="191">
                  <c:v>7.23260706810948</c:v>
                </c:pt>
                <c:pt idx="192">
                  <c:v>7.235949205211448</c:v>
                </c:pt>
                <c:pt idx="193">
                  <c:v>7.239282289403957</c:v>
                </c:pt>
                <c:pt idx="194">
                  <c:v>7.242606379829666</c:v>
                </c:pt>
                <c:pt idx="195">
                  <c:v>7.245921535023739</c:v>
                </c:pt>
                <c:pt idx="196">
                  <c:v>7.249227812921519</c:v>
                </c:pt>
                <c:pt idx="197">
                  <c:v>7.252525270866086</c:v>
                </c:pt>
                <c:pt idx="198">
                  <c:v>7.255813965615696</c:v>
                </c:pt>
                <c:pt idx="199">
                  <c:v>7.259093953351111</c:v>
                </c:pt>
                <c:pt idx="200">
                  <c:v>7.2623652896828155</c:v>
                </c:pt>
                <c:pt idx="201">
                  <c:v>7.265628029658097</c:v>
                </c:pt>
                <c:pt idx="202">
                  <c:v>7.268882227768067</c:v>
                </c:pt>
                <c:pt idx="203">
                  <c:v>7.272127937954527</c:v>
                </c:pt>
                <c:pt idx="204">
                  <c:v>7.2753652136167615</c:v>
                </c:pt>
                <c:pt idx="205">
                  <c:v>7.278594107618205</c:v>
                </c:pt>
                <c:pt idx="206">
                  <c:v>7.281814672293039</c:v>
                </c:pt>
                <c:pt idx="207">
                  <c:v>7.285026959452644</c:v>
                </c:pt>
                <c:pt idx="208">
                  <c:v>7.288231020392002</c:v>
                </c:pt>
                <c:pt idx="209">
                  <c:v>7.291426905895974</c:v>
                </c:pt>
                <c:pt idx="210">
                  <c:v>7.294614666245487</c:v>
                </c:pt>
                <c:pt idx="211">
                  <c:v>7.297794351223643</c:v>
                </c:pt>
                <c:pt idx="212">
                  <c:v>7.300966010121714</c:v>
                </c:pt>
                <c:pt idx="213">
                  <c:v>7.304129691745074</c:v>
                </c:pt>
                <c:pt idx="214">
                  <c:v>7.307285444419028</c:v>
                </c:pt>
                <c:pt idx="215">
                  <c:v>7.3104333159945485</c:v>
                </c:pt>
                <c:pt idx="216">
                  <c:v>7.313573353853949</c:v>
                </c:pt>
                <c:pt idx="217">
                  <c:v>7.316705604916459</c:v>
                </c:pt>
                <c:pt idx="218">
                  <c:v>7.319830115643716</c:v>
                </c:pt>
                <c:pt idx="219">
                  <c:v>7.322946932045195</c:v>
                </c:pt>
                <c:pt idx="220">
                  <c:v>7.326056099683528</c:v>
                </c:pt>
                <c:pt idx="221">
                  <c:v>7.329157663679787</c:v>
                </c:pt>
                <c:pt idx="222">
                  <c:v>7.332251668718657</c:v>
                </c:pt>
                <c:pt idx="223">
                  <c:v>7.335338159053543</c:v>
                </c:pt>
                <c:pt idx="224">
                  <c:v>7.33841717851162</c:v>
                </c:pt>
                <c:pt idx="225">
                  <c:v>7.341488770498792</c:v>
                </c:pt>
                <c:pt idx="226">
                  <c:v>7.344552978004584</c:v>
                </c:pt>
                <c:pt idx="227">
                  <c:v>7.347609843606972</c:v>
                </c:pt>
                <c:pt idx="228">
                  <c:v>7.350659409477137</c:v>
                </c:pt>
                <c:pt idx="229">
                  <c:v>7.353701717384149</c:v>
                </c:pt>
                <c:pt idx="230">
                  <c:v>7.356736808699606</c:v>
                </c:pt>
                <c:pt idx="231">
                  <c:v>7.359764724402174</c:v>
                </c:pt>
                <c:pt idx="232">
                  <c:v>7.362785505082091</c:v>
                </c:pt>
                <c:pt idx="233">
                  <c:v>7.365799190945601</c:v>
                </c:pt>
                <c:pt idx="234">
                  <c:v>7.36880582181931</c:v>
                </c:pt>
                <c:pt idx="235">
                  <c:v>7.371805437154513</c:v>
                </c:pt>
                <c:pt idx="236">
                  <c:v>7.3747980760314285</c:v>
                </c:pt>
                <c:pt idx="237">
                  <c:v>7.377783777163395</c:v>
                </c:pt>
                <c:pt idx="238">
                  <c:v>7.3807625789010025</c:v>
                </c:pt>
                <c:pt idx="239">
                  <c:v>7.383734519236171</c:v>
                </c:pt>
                <c:pt idx="240">
                  <c:v>7.386699635806161</c:v>
                </c:pt>
                <c:pt idx="241">
                  <c:v>7.389657965897549</c:v>
                </c:pt>
                <c:pt idx="242">
                  <c:v>7.392609546450131</c:v>
                </c:pt>
                <c:pt idx="243">
                  <c:v>7.39555441406079</c:v>
                </c:pt>
                <c:pt idx="244">
                  <c:v>7.39849260498728</c:v>
                </c:pt>
                <c:pt idx="245">
                  <c:v>7.401424155152004</c:v>
                </c:pt>
                <c:pt idx="246">
                  <c:v>7.404349100145704</c:v>
                </c:pt>
                <c:pt idx="247">
                  <c:v>7.407267475231114</c:v>
                </c:pt>
                <c:pt idx="248">
                  <c:v>7.410179315346563</c:v>
                </c:pt>
                <c:pt idx="249">
                  <c:v>7.413084655109546</c:v>
                </c:pt>
                <c:pt idx="250">
                  <c:v>7.415983528820203</c:v>
                </c:pt>
                <c:pt idx="251">
                  <c:v>7.4188759704648115</c:v>
                </c:pt>
                <c:pt idx="252">
                  <c:v>7.421762013719183</c:v>
                </c:pt>
                <c:pt idx="253">
                  <c:v>7.424641691952043</c:v>
                </c:pt>
                <c:pt idx="254">
                  <c:v>7.427515038228348</c:v>
                </c:pt>
                <c:pt idx="255">
                  <c:v>7.430382085312571</c:v>
                </c:pt>
                <c:pt idx="256">
                  <c:v>7.433242865671949</c:v>
                </c:pt>
                <c:pt idx="257">
                  <c:v>7.436097411479668</c:v>
                </c:pt>
                <c:pt idx="258">
                  <c:v>7.43894575461802</c:v>
                </c:pt>
                <c:pt idx="259">
                  <c:v>7.441787926681524</c:v>
                </c:pt>
                <c:pt idx="260">
                  <c:v>7.444623958979987</c:v>
                </c:pt>
                <c:pt idx="261">
                  <c:v>7.44745388254155</c:v>
                </c:pt>
                <c:pt idx="262">
                  <c:v>7.450277728115672</c:v>
                </c:pt>
                <c:pt idx="263">
                  <c:v>7.453095526176088</c:v>
                </c:pt>
                <c:pt idx="264">
                  <c:v>7.455907306923733</c:v>
                </c:pt>
                <c:pt idx="265">
                  <c:v>7.4587131002896125</c:v>
                </c:pt>
                <c:pt idx="266">
                  <c:v>7.461512935937651</c:v>
                </c:pt>
                <c:pt idx="267">
                  <c:v>7.46430684326749</c:v>
                </c:pt>
                <c:pt idx="268">
                  <c:v>7.467094851417278</c:v>
                </c:pt>
                <c:pt idx="269">
                  <c:v>7.469876989266387</c:v>
                </c:pt>
                <c:pt idx="270">
                  <c:v>7.47265328543812</c:v>
                </c:pt>
                <c:pt idx="271">
                  <c:v>7.475423768302377</c:v>
                </c:pt>
                <c:pt idx="272">
                  <c:v>7.4781884659783024</c:v>
                </c:pt>
                <c:pt idx="273">
                  <c:v>7.480947406336854</c:v>
                </c:pt>
                <c:pt idx="274">
                  <c:v>7.483700617003403</c:v>
                </c:pt>
                <c:pt idx="275">
                  <c:v>7.486448125360247</c:v>
                </c:pt>
                <c:pt idx="276">
                  <c:v>7.489189958549133</c:v>
                </c:pt>
                <c:pt idx="277">
                  <c:v>7.491926143473703</c:v>
                </c:pt>
                <c:pt idx="278">
                  <c:v>7.494656706801967</c:v>
                </c:pt>
                <c:pt idx="279">
                  <c:v>7.497381674968693</c:v>
                </c:pt>
                <c:pt idx="280">
                  <c:v>7.5001010741777945</c:v>
                </c:pt>
                <c:pt idx="281">
                  <c:v>7.5028149304046865</c:v>
                </c:pt>
                <c:pt idx="282">
                  <c:v>7.505523269398603</c:v>
                </c:pt>
                <c:pt idx="283">
                  <c:v>7.508226116684901</c:v>
                </c:pt>
                <c:pt idx="284">
                  <c:v>7.510923497567311</c:v>
                </c:pt>
                <c:pt idx="285">
                  <c:v>7.5136154371302</c:v>
                </c:pt>
                <c:pt idx="286">
                  <c:v>7.516301960240761</c:v>
                </c:pt>
                <c:pt idx="287">
                  <c:v>7.518983091551209</c:v>
                </c:pt>
                <c:pt idx="288">
                  <c:v>7.521658855500936</c:v>
                </c:pt>
                <c:pt idx="289">
                  <c:v>7.524329276318655</c:v>
                </c:pt>
                <c:pt idx="290">
                  <c:v>7.526994378024478</c:v>
                </c:pt>
                <c:pt idx="291">
                  <c:v>7.529654184432038</c:v>
                </c:pt>
                <c:pt idx="292">
                  <c:v>7.532308719150509</c:v>
                </c:pt>
                <c:pt idx="293">
                  <c:v>7.534958005586654</c:v>
                </c:pt>
                <c:pt idx="294">
                  <c:v>7.537602066946837</c:v>
                </c:pt>
                <c:pt idx="295">
                  <c:v>7.540240926238996</c:v>
                </c:pt>
                <c:pt idx="296">
                  <c:v>7.542874606274609</c:v>
                </c:pt>
                <c:pt idx="297">
                  <c:v>7.545503129670626</c:v>
                </c:pt>
                <c:pt idx="298">
                  <c:v>7.54812651885139</c:v>
                </c:pt>
                <c:pt idx="299">
                  <c:v>7.550744796050525</c:v>
                </c:pt>
                <c:pt idx="300">
                  <c:v>7.5533579833127975</c:v>
                </c:pt>
                <c:pt idx="301">
                  <c:v>7.555966102495975</c:v>
                </c:pt>
                <c:pt idx="302">
                  <c:v>7.558569175272648</c:v>
                </c:pt>
                <c:pt idx="303">
                  <c:v>7.561167223132027</c:v>
                </c:pt>
                <c:pt idx="304">
                  <c:v>7.5637602673817375</c:v>
                </c:pt>
                <c:pt idx="305">
                  <c:v>7.566348329149567</c:v>
                </c:pt>
                <c:pt idx="306">
                  <c:v>7.5689314293852235</c:v>
                </c:pt>
                <c:pt idx="307">
                  <c:v>7.5715095888620425</c:v>
                </c:pt>
                <c:pt idx="308">
                  <c:v>7.574082828178699</c:v>
                </c:pt>
                <c:pt idx="309">
                  <c:v>7.5766511677608825</c:v>
                </c:pt>
                <c:pt idx="310">
                  <c:v>7.579214627862964</c:v>
                </c:pt>
                <c:pt idx="311">
                  <c:v>7.5817732285696335</c:v>
                </c:pt>
                <c:pt idx="312">
                  <c:v>7.584326989797537</c:v>
                </c:pt>
                <c:pt idx="313">
                  <c:v>7.586875931296872</c:v>
                </c:pt>
                <c:pt idx="314">
                  <c:v>7.589420072652971</c:v>
                </c:pt>
                <c:pt idx="315">
                  <c:v>7.591959433287886</c:v>
                </c:pt>
                <c:pt idx="316">
                  <c:v>7.5944940324619346</c:v>
                </c:pt>
                <c:pt idx="317">
                  <c:v>7.597023889275225</c:v>
                </c:pt>
                <c:pt idx="318">
                  <c:v>7.599549022669184</c:v>
                </c:pt>
                <c:pt idx="319">
                  <c:v>7.602069451428058</c:v>
                </c:pt>
                <c:pt idx="320">
                  <c:v>7.604585194180386</c:v>
                </c:pt>
                <c:pt idx="321">
                  <c:v>7.607096269400471</c:v>
                </c:pt>
                <c:pt idx="322">
                  <c:v>7.609602695409836</c:v>
                </c:pt>
                <c:pt idx="323">
                  <c:v>7.612104490378649</c:v>
                </c:pt>
                <c:pt idx="324">
                  <c:v>7.614601672327144</c:v>
                </c:pt>
                <c:pt idx="325">
                  <c:v>7.617094259127025</c:v>
                </c:pt>
                <c:pt idx="326">
                  <c:v>7.619582268502849</c:v>
                </c:pt>
                <c:pt idx="327">
                  <c:v>7.622065718033399</c:v>
                </c:pt>
                <c:pt idx="328">
                  <c:v>7.624544625153046</c:v>
                </c:pt>
                <c:pt idx="329">
                  <c:v>7.62701900715307</c:v>
                </c:pt>
                <c:pt idx="330">
                  <c:v>7.629488881183013</c:v>
                </c:pt>
                <c:pt idx="331">
                  <c:v>7.631954264251974</c:v>
                </c:pt>
                <c:pt idx="332">
                  <c:v>7.63441517322991</c:v>
                </c:pt>
                <c:pt idx="333">
                  <c:v>7.636871624848921</c:v>
                </c:pt>
                <c:pt idx="334">
                  <c:v>7.639323635704511</c:v>
                </c:pt>
                <c:pt idx="335">
                  <c:v>7.641771222256859</c:v>
                </c:pt>
                <c:pt idx="336">
                  <c:v>7.644214400832045</c:v>
                </c:pt>
                <c:pt idx="337">
                  <c:v>7.646653187623287</c:v>
                </c:pt>
                <c:pt idx="338">
                  <c:v>7.649087598692157</c:v>
                </c:pt>
                <c:pt idx="339">
                  <c:v>7.651517649969772</c:v>
                </c:pt>
                <c:pt idx="340">
                  <c:v>7.653943357258003</c:v>
                </c:pt>
                <c:pt idx="341">
                  <c:v>7.6563647362306275</c:v>
                </c:pt>
                <c:pt idx="342">
                  <c:v>7.658781802434509</c:v>
                </c:pt>
                <c:pt idx="343">
                  <c:v>7.6611945712907445</c:v>
                </c:pt>
                <c:pt idx="344">
                  <c:v>7.663603058095803</c:v>
                </c:pt>
                <c:pt idx="345">
                  <c:v>7.66600727802265</c:v>
                </c:pt>
                <c:pt idx="346">
                  <c:v>7.6684072461218635</c:v>
                </c:pt>
                <c:pt idx="347">
                  <c:v>7.6708029773227375</c:v>
                </c:pt>
                <c:pt idx="348">
                  <c:v>7.673194486434375</c:v>
                </c:pt>
                <c:pt idx="349">
                  <c:v>7.675581788146767</c:v>
                </c:pt>
                <c:pt idx="350">
                  <c:v>7.677964897031858</c:v>
                </c:pt>
                <c:pt idx="351">
                  <c:v>7.6803438275446</c:v>
                </c:pt>
                <c:pt idx="352">
                  <c:v>7.6827185940240135</c:v>
                </c:pt>
                <c:pt idx="353">
                  <c:v>7.685089210694203</c:v>
                </c:pt>
                <c:pt idx="354">
                  <c:v>7.687455691665398</c:v>
                </c:pt>
                <c:pt idx="355">
                  <c:v>7.6898180509349565</c:v>
                </c:pt>
                <c:pt idx="356">
                  <c:v>7.6921763023883685</c:v>
                </c:pt>
                <c:pt idx="357">
                  <c:v>7.694530459800255</c:v>
                </c:pt>
                <c:pt idx="358">
                  <c:v>7.696880536835342</c:v>
                </c:pt>
                <c:pt idx="359">
                  <c:v>7.6992265470494425</c:v>
                </c:pt>
                <c:pt idx="360">
                  <c:v>7.70156850389041</c:v>
                </c:pt>
                <c:pt idx="361">
                  <c:v>7.70390642069909</c:v>
                </c:pt>
                <c:pt idx="362">
                  <c:v>7.706240310710272</c:v>
                </c:pt>
                <c:pt idx="363">
                  <c:v>7.708570187053618</c:v>
                </c:pt>
                <c:pt idx="364">
                  <c:v>7.7108960627545775</c:v>
                </c:pt>
                <c:pt idx="365">
                  <c:v>7.713217950735313</c:v>
                </c:pt>
                <c:pt idx="366">
                  <c:v>7.715535863815598</c:v>
                </c:pt>
                <c:pt idx="367">
                  <c:v>7.717849814713714</c:v>
                </c:pt>
                <c:pt idx="368">
                  <c:v>7.7201598160473335</c:v>
                </c:pt>
                <c:pt idx="369">
                  <c:v>7.72246588033441</c:v>
                </c:pt>
                <c:pt idx="370">
                  <c:v>7.724768019994026</c:v>
                </c:pt>
                <c:pt idx="371">
                  <c:v>7.727066247347266</c:v>
                </c:pt>
                <c:pt idx="372">
                  <c:v>7.7293605746180685</c:v>
                </c:pt>
                <c:pt idx="373">
                  <c:v>7.73165101393406</c:v>
                </c:pt>
                <c:pt idx="374">
                  <c:v>7.7339375773273975</c:v>
                </c:pt>
                <c:pt idx="375">
                  <c:v>7.736220276735584</c:v>
                </c:pt>
                <c:pt idx="376">
                  <c:v>7.738499945882217</c:v>
                </c:pt>
                <c:pt idx="377">
                  <c:v>7.740774916320265</c:v>
                </c:pt>
                <c:pt idx="378">
                  <c:v>7.743046036511615</c:v>
                </c:pt>
                <c:pt idx="379">
                  <c:v>7.745313320543695</c:v>
                </c:pt>
                <c:pt idx="380">
                  <c:v>7.747576782421873</c:v>
                </c:pt>
                <c:pt idx="381">
                  <c:v>7.749836436070106</c:v>
                </c:pt>
                <c:pt idx="382">
                  <c:v>7.752092295331571</c:v>
                </c:pt>
                <c:pt idx="383">
                  <c:v>7.75434437396931</c:v>
                </c:pt>
                <c:pt idx="384">
                  <c:v>7.756592685666859</c:v>
                </c:pt>
                <c:pt idx="385">
                  <c:v>7.75883724402886</c:v>
                </c:pt>
                <c:pt idx="386">
                  <c:v>7.7610780625816975</c:v>
                </c:pt>
                <c:pt idx="387">
                  <c:v>7.76331515477409</c:v>
                </c:pt>
                <c:pt idx="388">
                  <c:v>7.765548533977707</c:v>
                </c:pt>
                <c:pt idx="389">
                  <c:v>7.767778213487757</c:v>
                </c:pt>
                <c:pt idx="390">
                  <c:v>7.770004206523596</c:v>
                </c:pt>
                <c:pt idx="391">
                  <c:v>7.772226526229302</c:v>
                </c:pt>
                <c:pt idx="392">
                  <c:v>7.774445185674258</c:v>
                </c:pt>
                <c:pt idx="393">
                  <c:v>7.776660197853739</c:v>
                </c:pt>
                <c:pt idx="394">
                  <c:v>7.77887157568947</c:v>
                </c:pt>
                <c:pt idx="395">
                  <c:v>7.781079332030196</c:v>
                </c:pt>
                <c:pt idx="396">
                  <c:v>7.783283479652244</c:v>
                </c:pt>
                <c:pt idx="397">
                  <c:v>7.7854840312600695</c:v>
                </c:pt>
                <c:pt idx="398">
                  <c:v>7.787680999486817</c:v>
                </c:pt>
                <c:pt idx="399">
                  <c:v>7.789874396894852</c:v>
                </c:pt>
                <c:pt idx="400">
                  <c:v>7.792064235976311</c:v>
                </c:pt>
                <c:pt idx="401">
                  <c:v>7.794250529153626</c:v>
                </c:pt>
                <c:pt idx="402">
                  <c:v>7.796433288780052</c:v>
                </c:pt>
                <c:pt idx="403">
                  <c:v>7.798612527140199</c:v>
                </c:pt>
                <c:pt idx="404">
                  <c:v>7.800788256450547</c:v>
                </c:pt>
                <c:pt idx="405">
                  <c:v>7.802960488859954</c:v>
                </c:pt>
                <c:pt idx="406">
                  <c:v>7.80512923645017</c:v>
                </c:pt>
                <c:pt idx="407">
                  <c:v>7.807294511236338</c:v>
                </c:pt>
                <c:pt idx="408">
                  <c:v>7.809456325167499</c:v>
                </c:pt>
                <c:pt idx="409">
                  <c:v>7.8116146901270795</c:v>
                </c:pt>
                <c:pt idx="410">
                  <c:v>7.813769617933381</c:v>
                </c:pt>
                <c:pt idx="411">
                  <c:v>7.815921120340075</c:v>
                </c:pt>
                <c:pt idx="412">
                  <c:v>7.8180692090366755</c:v>
                </c:pt>
                <c:pt idx="413">
                  <c:v>7.820213895649012</c:v>
                </c:pt>
                <c:pt idx="414">
                  <c:v>7.822355191739706</c:v>
                </c:pt>
                <c:pt idx="415">
                  <c:v>7.824493108808648</c:v>
                </c:pt>
                <c:pt idx="416">
                  <c:v>7.826627658293442</c:v>
                </c:pt>
                <c:pt idx="417">
                  <c:v>7.828758851569878</c:v>
                </c:pt>
                <c:pt idx="418">
                  <c:v>7.830886699952381</c:v>
                </c:pt>
                <c:pt idx="419">
                  <c:v>7.833011214694461</c:v>
                </c:pt>
                <c:pt idx="420">
                  <c:v>7.835132406989168</c:v>
                </c:pt>
                <c:pt idx="421">
                  <c:v>7.837250287969516</c:v>
                </c:pt>
                <c:pt idx="422">
                  <c:v>7.839364868708945</c:v>
                </c:pt>
                <c:pt idx="423">
                  <c:v>7.841476160221733</c:v>
                </c:pt>
                <c:pt idx="424">
                  <c:v>7.843584173463441</c:v>
                </c:pt>
                <c:pt idx="425">
                  <c:v>7.845688919331335</c:v>
                </c:pt>
                <c:pt idx="426">
                  <c:v>7.847790408664802</c:v>
                </c:pt>
                <c:pt idx="427">
                  <c:v>7.849888652245783</c:v>
                </c:pt>
                <c:pt idx="428">
                  <c:v>7.85198366079917</c:v>
                </c:pt>
                <c:pt idx="429">
                  <c:v>7.854075444993233</c:v>
                </c:pt>
                <c:pt idx="430">
                  <c:v>7.856164015440018</c:v>
                </c:pt>
                <c:pt idx="431">
                  <c:v>7.858249382695753</c:v>
                </c:pt>
                <c:pt idx="432">
                  <c:v>7.86033155726125</c:v>
                </c:pt>
                <c:pt idx="433">
                  <c:v>7.8624105495822985</c:v>
                </c:pt>
                <c:pt idx="434">
                  <c:v>7.86448637005006</c:v>
                </c:pt>
                <c:pt idx="435">
                  <c:v>7.866559029001457</c:v>
                </c:pt>
                <c:pt idx="436">
                  <c:v>7.868628536719562</c:v>
                </c:pt>
                <c:pt idx="437">
                  <c:v>7.870694903433974</c:v>
                </c:pt>
                <c:pt idx="438">
                  <c:v>7.872758139321201</c:v>
                </c:pt>
                <c:pt idx="439">
                  <c:v>7.874818254505038</c:v>
                </c:pt>
                <c:pt idx="440">
                  <c:v>7.876875259056932</c:v>
                </c:pt>
                <c:pt idx="441">
                  <c:v>7.878929162996366</c:v>
                </c:pt>
                <c:pt idx="442">
                  <c:v>7.880979976291202</c:v>
                </c:pt>
                <c:pt idx="443">
                  <c:v>7.883027708858069</c:v>
                </c:pt>
                <c:pt idx="444">
                  <c:v>7.8850723705627015</c:v>
                </c:pt>
                <c:pt idx="445">
                  <c:v>7.887113971220307</c:v>
                </c:pt>
                <c:pt idx="446">
                  <c:v>7.889152520595922</c:v>
                </c:pt>
                <c:pt idx="447">
                  <c:v>7.891188028404747</c:v>
                </c:pt>
                <c:pt idx="448">
                  <c:v>7.89322050431251</c:v>
                </c:pt>
                <c:pt idx="449">
                  <c:v>7.8952499579358015</c:v>
                </c:pt>
                <c:pt idx="450">
                  <c:v>7.897276398842422</c:v>
                </c:pt>
                <c:pt idx="451">
                  <c:v>7.899299836551708</c:v>
                </c:pt>
                <c:pt idx="452">
                  <c:v>7.90132028053488</c:v>
                </c:pt>
                <c:pt idx="453">
                  <c:v>7.9033377402153695</c:v>
                </c:pt>
                <c:pt idx="454">
                  <c:v>7.905352224969145</c:v>
                </c:pt>
                <c:pt idx="455">
                  <c:v>7.9073637441250515</c:v>
                </c:pt>
                <c:pt idx="456">
                  <c:v>7.909372306965113</c:v>
                </c:pt>
                <c:pt idx="457">
                  <c:v>7.911377922724873</c:v>
                </c:pt>
                <c:pt idx="458">
                  <c:v>7.913380600593701</c:v>
                </c:pt>
                <c:pt idx="459">
                  <c:v>7.915380349715112</c:v>
                </c:pt>
                <c:pt idx="460">
                  <c:v>7.917377179187082</c:v>
                </c:pt>
                <c:pt idx="461">
                  <c:v>7.919371098062352</c:v>
                </c:pt>
                <c:pt idx="462">
                  <c:v>7.921362115348741</c:v>
                </c:pt>
                <c:pt idx="463">
                  <c:v>7.923350240009441</c:v>
                </c:pt>
                <c:pt idx="464">
                  <c:v>7.925335480963339</c:v>
                </c:pt>
                <c:pt idx="465">
                  <c:v>7.927317847085293</c:v>
                </c:pt>
                <c:pt idx="466">
                  <c:v>7.9292973472064485</c:v>
                </c:pt>
                <c:pt idx="467">
                  <c:v>7.931273990114515</c:v>
                </c:pt>
                <c:pt idx="468">
                  <c:v>7.933247784554078</c:v>
                </c:pt>
                <c:pt idx="469">
                  <c:v>7.9352187392268725</c:v>
                </c:pt>
                <c:pt idx="470">
                  <c:v>7.937186862792078</c:v>
                </c:pt>
                <c:pt idx="471">
                  <c:v>7.939152163866606</c:v>
                </c:pt>
                <c:pt idx="472">
                  <c:v>7.941114651025368</c:v>
                </c:pt>
                <c:pt idx="473">
                  <c:v>7.943074332801573</c:v>
                </c:pt>
                <c:pt idx="474">
                  <c:v>7.945031217686998</c:v>
                </c:pt>
                <c:pt idx="475">
                  <c:v>7.946985314132257</c:v>
                </c:pt>
                <c:pt idx="476">
                  <c:v>7.948936630547089</c:v>
                </c:pt>
                <c:pt idx="477">
                  <c:v>7.950885175300615</c:v>
                </c:pt>
                <c:pt idx="478">
                  <c:v>7.952830956721613</c:v>
                </c:pt>
                <c:pt idx="479">
                  <c:v>7.954773983098779</c:v>
                </c:pt>
                <c:pt idx="480">
                  <c:v>7.956714262681002</c:v>
                </c:pt>
                <c:pt idx="481">
                  <c:v>7.958651803677614</c:v>
                </c:pt>
                <c:pt idx="482">
                  <c:v>7.960586614258657</c:v>
                </c:pt>
                <c:pt idx="483">
                  <c:v>7.962518702555143</c:v>
                </c:pt>
                <c:pt idx="484">
                  <c:v>7.964448076659297</c:v>
                </c:pt>
                <c:pt idx="485">
                  <c:v>7.966374744624823</c:v>
                </c:pt>
                <c:pt idx="486">
                  <c:v>7.968298714467154</c:v>
                </c:pt>
                <c:pt idx="487">
                  <c:v>7.970219994163691</c:v>
                </c:pt>
                <c:pt idx="488">
                  <c:v>7.972138591654064</c:v>
                </c:pt>
                <c:pt idx="489">
                  <c:v>7.974054514840368</c:v>
                </c:pt>
                <c:pt idx="490">
                  <c:v>7.975967771587415</c:v>
                </c:pt>
                <c:pt idx="491">
                  <c:v>7.97787836972296</c:v>
                </c:pt>
                <c:pt idx="492">
                  <c:v>7.97978631703796</c:v>
                </c:pt>
                <c:pt idx="493">
                  <c:v>7.981691621286792</c:v>
                </c:pt>
                <c:pt idx="494">
                  <c:v>7.983594290187507</c:v>
                </c:pt>
                <c:pt idx="495">
                  <c:v>7.985494331422047</c:v>
                </c:pt>
                <c:pt idx="496">
                  <c:v>7.987391752636489</c:v>
                </c:pt>
                <c:pt idx="497">
                  <c:v>7.989286561441266</c:v>
                </c:pt>
                <c:pt idx="498">
                  <c:v>7.991178765411403</c:v>
                </c:pt>
                <c:pt idx="499">
                  <c:v>7.99306837208674</c:v>
                </c:pt>
                <c:pt idx="500">
                  <c:v>7.994955388972147</c:v>
                </c:pt>
                <c:pt idx="501">
                  <c:v>7.99683982353777</c:v>
                </c:pt>
                <c:pt idx="502">
                  <c:v>7.998721683219222</c:v>
                </c:pt>
                <c:pt idx="503">
                  <c:v>8.000600975417829</c:v>
                </c:pt>
                <c:pt idx="504">
                  <c:v>8.002477707500825</c:v>
                </c:pt>
                <c:pt idx="505">
                  <c:v>8.004351886801585</c:v>
                </c:pt>
                <c:pt idx="506">
                  <c:v>8.006223520619827</c:v>
                </c:pt>
                <c:pt idx="507">
                  <c:v>8.008092616221834</c:v>
                </c:pt>
                <c:pt idx="508">
                  <c:v>8.009959180840658</c:v>
                </c:pt>
                <c:pt idx="509">
                  <c:v>8.011823221676325</c:v>
                </c:pt>
                <c:pt idx="510">
                  <c:v>8.013684745896056</c:v>
                </c:pt>
                <c:pt idx="511">
                  <c:v>8.015543760634456</c:v>
                </c:pt>
                <c:pt idx="512">
                  <c:v>8.01740027299373</c:v>
                </c:pt>
                <c:pt idx="513">
                  <c:v>8.019254290043882</c:v>
                </c:pt>
                <c:pt idx="514">
                  <c:v>8.02110581882291</c:v>
                </c:pt>
                <c:pt idx="515">
                  <c:v>8.022954866337018</c:v>
                </c:pt>
                <c:pt idx="516">
                  <c:v>8.024801439560798</c:v>
                </c:pt>
                <c:pt idx="517">
                  <c:v>8.02664554543744</c:v>
                </c:pt>
                <c:pt idx="518">
                  <c:v>8.028487190878913</c:v>
                </c:pt>
                <c:pt idx="519">
                  <c:v>8.030326382766177</c:v>
                </c:pt>
                <c:pt idx="520">
                  <c:v>8.03216312794935</c:v>
                </c:pt>
                <c:pt idx="521">
                  <c:v>8.033997433247917</c:v>
                </c:pt>
                <c:pt idx="522">
                  <c:v>8.035829305450918</c:v>
                </c:pt>
                <c:pt idx="523">
                  <c:v>8.037658751317121</c:v>
                </c:pt>
                <c:pt idx="524">
                  <c:v>8.039485777575221</c:v>
                </c:pt>
                <c:pt idx="525">
                  <c:v>8.04131039092402</c:v>
                </c:pt>
                <c:pt idx="526">
                  <c:v>8.043132598032606</c:v>
                </c:pt>
                <c:pt idx="527">
                  <c:v>8.044952405540545</c:v>
                </c:pt>
                <c:pt idx="528">
                  <c:v>8.046769820058048</c:v>
                </c:pt>
                <c:pt idx="529">
                  <c:v>8.048584848166156</c:v>
                </c:pt>
                <c:pt idx="530">
                  <c:v>8.05039749641692</c:v>
                </c:pt>
                <c:pt idx="531">
                  <c:v>8.052207771333574</c:v>
                </c:pt>
                <c:pt idx="532">
                  <c:v>8.054015679410705</c:v>
                </c:pt>
                <c:pt idx="533">
                  <c:v>8.055821227114441</c:v>
                </c:pt>
                <c:pt idx="534">
                  <c:v>8.057624420882602</c:v>
                </c:pt>
                <c:pt idx="535">
                  <c:v>8.05942526712489</c:v>
                </c:pt>
                <c:pt idx="536">
                  <c:v>8.061223772223045</c:v>
                </c:pt>
                <c:pt idx="537">
                  <c:v>8.063019942531017</c:v>
                </c:pt>
                <c:pt idx="538">
                  <c:v>8.064813784375142</c:v>
                </c:pt>
                <c:pt idx="539">
                  <c:v>8.066605304054287</c:v>
                </c:pt>
                <c:pt idx="540">
                  <c:v>8.06839450784004</c:v>
                </c:pt>
                <c:pt idx="541">
                  <c:v>8.070181401976855</c:v>
                </c:pt>
                <c:pt idx="542">
                  <c:v>8.071965992682212</c:v>
                </c:pt>
                <c:pt idx="543">
                  <c:v>8.073748286146797</c:v>
                </c:pt>
                <c:pt idx="544">
                  <c:v>8.075528288534642</c:v>
                </c:pt>
                <c:pt idx="545">
                  <c:v>8.077306005983287</c:v>
                </c:pt>
                <c:pt idx="546">
                  <c:v>8.079081444603945</c:v>
                </c:pt>
                <c:pt idx="547">
                  <c:v>8.080854610481657</c:v>
                </c:pt>
                <c:pt idx="548">
                  <c:v>8.082625509675433</c:v>
                </c:pt>
                <c:pt idx="549">
                  <c:v>8.084394148218424</c:v>
                </c:pt>
                <c:pt idx="550">
                  <c:v>8.086160532118063</c:v>
                </c:pt>
                <c:pt idx="551">
                  <c:v>8.087924667356221</c:v>
                </c:pt>
                <c:pt idx="552">
                  <c:v>8.089686559889353</c:v>
                </c:pt>
                <c:pt idx="553">
                  <c:v>8.09144621564865</c:v>
                </c:pt>
                <c:pt idx="554">
                  <c:v>8.09320364054019</c:v>
                </c:pt>
                <c:pt idx="555">
                  <c:v>8.09495884044508</c:v>
                </c:pt>
                <c:pt idx="556">
                  <c:v>8.096711821219605</c:v>
                </c:pt>
                <c:pt idx="557">
                  <c:v>8.09846258869537</c:v>
                </c:pt>
                <c:pt idx="558">
                  <c:v>8.100211148679437</c:v>
                </c:pt>
                <c:pt idx="559">
                  <c:v>8.101957506954491</c:v>
                </c:pt>
                <c:pt idx="560">
                  <c:v>8.103701669278959</c:v>
                </c:pt>
                <c:pt idx="561">
                  <c:v>8.105443641387154</c:v>
                </c:pt>
                <c:pt idx="562">
                  <c:v>8.107183428989426</c:v>
                </c:pt>
                <c:pt idx="563">
                  <c:v>8.108921037772289</c:v>
                </c:pt>
                <c:pt idx="564">
                  <c:v>8.110656473398564</c:v>
                </c:pt>
                <c:pt idx="565">
                  <c:v>8.112389741507508</c:v>
                </c:pt>
                <c:pt idx="566">
                  <c:v>8.11412084771497</c:v>
                </c:pt>
                <c:pt idx="567">
                  <c:v>8.115849797613494</c:v>
                </c:pt>
                <c:pt idx="568">
                  <c:v>8.117576596772484</c:v>
                </c:pt>
                <c:pt idx="569">
                  <c:v>8.119301250738314</c:v>
                </c:pt>
                <c:pt idx="570">
                  <c:v>8.121023765034472</c:v>
                </c:pt>
                <c:pt idx="571">
                  <c:v>8.122744145161688</c:v>
                </c:pt>
                <c:pt idx="572">
                  <c:v>8.124462396598057</c:v>
                </c:pt>
                <c:pt idx="573">
                  <c:v>8.126178524799183</c:v>
                </c:pt>
                <c:pt idx="574">
                  <c:v>8.127892535198288</c:v>
                </c:pt>
                <c:pt idx="575">
                  <c:v>8.129604433206355</c:v>
                </c:pt>
              </c:numCache>
            </c:numRef>
          </c:xVal>
          <c:yVal>
            <c:numRef>
              <c:f>'T-s diagr. data'!$B$8:$B$758</c:f>
              <c:numCache>
                <c:ptCount val="751"/>
                <c:pt idx="0">
                  <c:v>250</c:v>
                </c:pt>
                <c:pt idx="1">
                  <c:v>252</c:v>
                </c:pt>
                <c:pt idx="2">
                  <c:v>254</c:v>
                </c:pt>
                <c:pt idx="3">
                  <c:v>256</c:v>
                </c:pt>
                <c:pt idx="4">
                  <c:v>258</c:v>
                </c:pt>
                <c:pt idx="5">
                  <c:v>260</c:v>
                </c:pt>
                <c:pt idx="6">
                  <c:v>262</c:v>
                </c:pt>
                <c:pt idx="7">
                  <c:v>264</c:v>
                </c:pt>
                <c:pt idx="8">
                  <c:v>266</c:v>
                </c:pt>
                <c:pt idx="9">
                  <c:v>268</c:v>
                </c:pt>
                <c:pt idx="10">
                  <c:v>270</c:v>
                </c:pt>
                <c:pt idx="11">
                  <c:v>272</c:v>
                </c:pt>
                <c:pt idx="12">
                  <c:v>274</c:v>
                </c:pt>
                <c:pt idx="13">
                  <c:v>276</c:v>
                </c:pt>
                <c:pt idx="14">
                  <c:v>278</c:v>
                </c:pt>
                <c:pt idx="15">
                  <c:v>280</c:v>
                </c:pt>
                <c:pt idx="16">
                  <c:v>282</c:v>
                </c:pt>
                <c:pt idx="17">
                  <c:v>284</c:v>
                </c:pt>
                <c:pt idx="18">
                  <c:v>286</c:v>
                </c:pt>
                <c:pt idx="19">
                  <c:v>288</c:v>
                </c:pt>
                <c:pt idx="20">
                  <c:v>290</c:v>
                </c:pt>
                <c:pt idx="21">
                  <c:v>292</c:v>
                </c:pt>
                <c:pt idx="22">
                  <c:v>294</c:v>
                </c:pt>
                <c:pt idx="23">
                  <c:v>296</c:v>
                </c:pt>
                <c:pt idx="24">
                  <c:v>298</c:v>
                </c:pt>
                <c:pt idx="25">
                  <c:v>300</c:v>
                </c:pt>
                <c:pt idx="26">
                  <c:v>302</c:v>
                </c:pt>
                <c:pt idx="27">
                  <c:v>304</c:v>
                </c:pt>
                <c:pt idx="28">
                  <c:v>306</c:v>
                </c:pt>
                <c:pt idx="29">
                  <c:v>308</c:v>
                </c:pt>
                <c:pt idx="30">
                  <c:v>310</c:v>
                </c:pt>
                <c:pt idx="31">
                  <c:v>312</c:v>
                </c:pt>
                <c:pt idx="32">
                  <c:v>314</c:v>
                </c:pt>
                <c:pt idx="33">
                  <c:v>316</c:v>
                </c:pt>
                <c:pt idx="34">
                  <c:v>318</c:v>
                </c:pt>
                <c:pt idx="35">
                  <c:v>320</c:v>
                </c:pt>
                <c:pt idx="36">
                  <c:v>322</c:v>
                </c:pt>
                <c:pt idx="37">
                  <c:v>324</c:v>
                </c:pt>
                <c:pt idx="38">
                  <c:v>326</c:v>
                </c:pt>
                <c:pt idx="39">
                  <c:v>328</c:v>
                </c:pt>
                <c:pt idx="40">
                  <c:v>330</c:v>
                </c:pt>
                <c:pt idx="41">
                  <c:v>332</c:v>
                </c:pt>
                <c:pt idx="42">
                  <c:v>334</c:v>
                </c:pt>
                <c:pt idx="43">
                  <c:v>336</c:v>
                </c:pt>
                <c:pt idx="44">
                  <c:v>338</c:v>
                </c:pt>
                <c:pt idx="45">
                  <c:v>340</c:v>
                </c:pt>
                <c:pt idx="46">
                  <c:v>342</c:v>
                </c:pt>
                <c:pt idx="47">
                  <c:v>344</c:v>
                </c:pt>
                <c:pt idx="48">
                  <c:v>346</c:v>
                </c:pt>
                <c:pt idx="49">
                  <c:v>348</c:v>
                </c:pt>
                <c:pt idx="50">
                  <c:v>350</c:v>
                </c:pt>
                <c:pt idx="51">
                  <c:v>352</c:v>
                </c:pt>
                <c:pt idx="52">
                  <c:v>354</c:v>
                </c:pt>
                <c:pt idx="53">
                  <c:v>356</c:v>
                </c:pt>
                <c:pt idx="54">
                  <c:v>358</c:v>
                </c:pt>
                <c:pt idx="55">
                  <c:v>360</c:v>
                </c:pt>
                <c:pt idx="56">
                  <c:v>362</c:v>
                </c:pt>
                <c:pt idx="57">
                  <c:v>364</c:v>
                </c:pt>
                <c:pt idx="58">
                  <c:v>366</c:v>
                </c:pt>
                <c:pt idx="59">
                  <c:v>368</c:v>
                </c:pt>
                <c:pt idx="60">
                  <c:v>370</c:v>
                </c:pt>
                <c:pt idx="61">
                  <c:v>372</c:v>
                </c:pt>
                <c:pt idx="62">
                  <c:v>374</c:v>
                </c:pt>
                <c:pt idx="63">
                  <c:v>376</c:v>
                </c:pt>
                <c:pt idx="64">
                  <c:v>378</c:v>
                </c:pt>
                <c:pt idx="65">
                  <c:v>380</c:v>
                </c:pt>
                <c:pt idx="66">
                  <c:v>382</c:v>
                </c:pt>
                <c:pt idx="67">
                  <c:v>384</c:v>
                </c:pt>
                <c:pt idx="68">
                  <c:v>386</c:v>
                </c:pt>
                <c:pt idx="69">
                  <c:v>388</c:v>
                </c:pt>
                <c:pt idx="70">
                  <c:v>390</c:v>
                </c:pt>
                <c:pt idx="71">
                  <c:v>392</c:v>
                </c:pt>
                <c:pt idx="72">
                  <c:v>394</c:v>
                </c:pt>
                <c:pt idx="73">
                  <c:v>396</c:v>
                </c:pt>
                <c:pt idx="74">
                  <c:v>398</c:v>
                </c:pt>
                <c:pt idx="75">
                  <c:v>400</c:v>
                </c:pt>
                <c:pt idx="76">
                  <c:v>402</c:v>
                </c:pt>
                <c:pt idx="77">
                  <c:v>404</c:v>
                </c:pt>
                <c:pt idx="78">
                  <c:v>406</c:v>
                </c:pt>
                <c:pt idx="79">
                  <c:v>408</c:v>
                </c:pt>
                <c:pt idx="80">
                  <c:v>410</c:v>
                </c:pt>
                <c:pt idx="81">
                  <c:v>412</c:v>
                </c:pt>
                <c:pt idx="82">
                  <c:v>414</c:v>
                </c:pt>
                <c:pt idx="83">
                  <c:v>416</c:v>
                </c:pt>
                <c:pt idx="84">
                  <c:v>418</c:v>
                </c:pt>
                <c:pt idx="85">
                  <c:v>420</c:v>
                </c:pt>
                <c:pt idx="86">
                  <c:v>422</c:v>
                </c:pt>
                <c:pt idx="87">
                  <c:v>424</c:v>
                </c:pt>
                <c:pt idx="88">
                  <c:v>426</c:v>
                </c:pt>
                <c:pt idx="89">
                  <c:v>428</c:v>
                </c:pt>
                <c:pt idx="90">
                  <c:v>430</c:v>
                </c:pt>
                <c:pt idx="91">
                  <c:v>432</c:v>
                </c:pt>
                <c:pt idx="92">
                  <c:v>434</c:v>
                </c:pt>
                <c:pt idx="93">
                  <c:v>436</c:v>
                </c:pt>
                <c:pt idx="94">
                  <c:v>438</c:v>
                </c:pt>
                <c:pt idx="95">
                  <c:v>440</c:v>
                </c:pt>
                <c:pt idx="96">
                  <c:v>442</c:v>
                </c:pt>
                <c:pt idx="97">
                  <c:v>444</c:v>
                </c:pt>
                <c:pt idx="98">
                  <c:v>446</c:v>
                </c:pt>
                <c:pt idx="99">
                  <c:v>448</c:v>
                </c:pt>
                <c:pt idx="100">
                  <c:v>450</c:v>
                </c:pt>
                <c:pt idx="101">
                  <c:v>452</c:v>
                </c:pt>
                <c:pt idx="102">
                  <c:v>454</c:v>
                </c:pt>
                <c:pt idx="103">
                  <c:v>456</c:v>
                </c:pt>
                <c:pt idx="104">
                  <c:v>458</c:v>
                </c:pt>
                <c:pt idx="105">
                  <c:v>460</c:v>
                </c:pt>
                <c:pt idx="106">
                  <c:v>462</c:v>
                </c:pt>
                <c:pt idx="107">
                  <c:v>464</c:v>
                </c:pt>
                <c:pt idx="108">
                  <c:v>466</c:v>
                </c:pt>
                <c:pt idx="109">
                  <c:v>468</c:v>
                </c:pt>
                <c:pt idx="110">
                  <c:v>470</c:v>
                </c:pt>
                <c:pt idx="111">
                  <c:v>472</c:v>
                </c:pt>
                <c:pt idx="112">
                  <c:v>474</c:v>
                </c:pt>
                <c:pt idx="113">
                  <c:v>476</c:v>
                </c:pt>
                <c:pt idx="114">
                  <c:v>478</c:v>
                </c:pt>
                <c:pt idx="115">
                  <c:v>480</c:v>
                </c:pt>
                <c:pt idx="116">
                  <c:v>482</c:v>
                </c:pt>
                <c:pt idx="117">
                  <c:v>484</c:v>
                </c:pt>
                <c:pt idx="118">
                  <c:v>486</c:v>
                </c:pt>
                <c:pt idx="119">
                  <c:v>488</c:v>
                </c:pt>
                <c:pt idx="120">
                  <c:v>490</c:v>
                </c:pt>
                <c:pt idx="121">
                  <c:v>492</c:v>
                </c:pt>
                <c:pt idx="122">
                  <c:v>494</c:v>
                </c:pt>
                <c:pt idx="123">
                  <c:v>496</c:v>
                </c:pt>
                <c:pt idx="124">
                  <c:v>498</c:v>
                </c:pt>
                <c:pt idx="125">
                  <c:v>500</c:v>
                </c:pt>
                <c:pt idx="126">
                  <c:v>502</c:v>
                </c:pt>
                <c:pt idx="127">
                  <c:v>504</c:v>
                </c:pt>
                <c:pt idx="128">
                  <c:v>506</c:v>
                </c:pt>
                <c:pt idx="129">
                  <c:v>508</c:v>
                </c:pt>
                <c:pt idx="130">
                  <c:v>510</c:v>
                </c:pt>
                <c:pt idx="131">
                  <c:v>512</c:v>
                </c:pt>
                <c:pt idx="132">
                  <c:v>514</c:v>
                </c:pt>
                <c:pt idx="133">
                  <c:v>516</c:v>
                </c:pt>
                <c:pt idx="134">
                  <c:v>518</c:v>
                </c:pt>
                <c:pt idx="135">
                  <c:v>520</c:v>
                </c:pt>
                <c:pt idx="136">
                  <c:v>522</c:v>
                </c:pt>
                <c:pt idx="137">
                  <c:v>524</c:v>
                </c:pt>
                <c:pt idx="138">
                  <c:v>526</c:v>
                </c:pt>
                <c:pt idx="139">
                  <c:v>528</c:v>
                </c:pt>
                <c:pt idx="140">
                  <c:v>530</c:v>
                </c:pt>
                <c:pt idx="141">
                  <c:v>532</c:v>
                </c:pt>
                <c:pt idx="142">
                  <c:v>534</c:v>
                </c:pt>
                <c:pt idx="143">
                  <c:v>536</c:v>
                </c:pt>
                <c:pt idx="144">
                  <c:v>538</c:v>
                </c:pt>
                <c:pt idx="145">
                  <c:v>540</c:v>
                </c:pt>
                <c:pt idx="146">
                  <c:v>542</c:v>
                </c:pt>
                <c:pt idx="147">
                  <c:v>544</c:v>
                </c:pt>
                <c:pt idx="148">
                  <c:v>546</c:v>
                </c:pt>
                <c:pt idx="149">
                  <c:v>548</c:v>
                </c:pt>
                <c:pt idx="150">
                  <c:v>550</c:v>
                </c:pt>
                <c:pt idx="151">
                  <c:v>552</c:v>
                </c:pt>
                <c:pt idx="152">
                  <c:v>554</c:v>
                </c:pt>
                <c:pt idx="153">
                  <c:v>556</c:v>
                </c:pt>
                <c:pt idx="154">
                  <c:v>558</c:v>
                </c:pt>
                <c:pt idx="155">
                  <c:v>560</c:v>
                </c:pt>
                <c:pt idx="156">
                  <c:v>562</c:v>
                </c:pt>
                <c:pt idx="157">
                  <c:v>564</c:v>
                </c:pt>
                <c:pt idx="158">
                  <c:v>566</c:v>
                </c:pt>
                <c:pt idx="159">
                  <c:v>568</c:v>
                </c:pt>
                <c:pt idx="160">
                  <c:v>570</c:v>
                </c:pt>
                <c:pt idx="161">
                  <c:v>572</c:v>
                </c:pt>
                <c:pt idx="162">
                  <c:v>574</c:v>
                </c:pt>
                <c:pt idx="163">
                  <c:v>576</c:v>
                </c:pt>
                <c:pt idx="164">
                  <c:v>578</c:v>
                </c:pt>
                <c:pt idx="165">
                  <c:v>580</c:v>
                </c:pt>
                <c:pt idx="166">
                  <c:v>582</c:v>
                </c:pt>
                <c:pt idx="167">
                  <c:v>584</c:v>
                </c:pt>
                <c:pt idx="168">
                  <c:v>586</c:v>
                </c:pt>
                <c:pt idx="169">
                  <c:v>588</c:v>
                </c:pt>
                <c:pt idx="170">
                  <c:v>590</c:v>
                </c:pt>
                <c:pt idx="171">
                  <c:v>592</c:v>
                </c:pt>
                <c:pt idx="172">
                  <c:v>594</c:v>
                </c:pt>
                <c:pt idx="173">
                  <c:v>596</c:v>
                </c:pt>
                <c:pt idx="174">
                  <c:v>598</c:v>
                </c:pt>
                <c:pt idx="175">
                  <c:v>600</c:v>
                </c:pt>
                <c:pt idx="176">
                  <c:v>602</c:v>
                </c:pt>
                <c:pt idx="177">
                  <c:v>604</c:v>
                </c:pt>
                <c:pt idx="178">
                  <c:v>606</c:v>
                </c:pt>
                <c:pt idx="179">
                  <c:v>608</c:v>
                </c:pt>
                <c:pt idx="180">
                  <c:v>610</c:v>
                </c:pt>
                <c:pt idx="181">
                  <c:v>612</c:v>
                </c:pt>
                <c:pt idx="182">
                  <c:v>614</c:v>
                </c:pt>
                <c:pt idx="183">
                  <c:v>616</c:v>
                </c:pt>
                <c:pt idx="184">
                  <c:v>618</c:v>
                </c:pt>
                <c:pt idx="185">
                  <c:v>620</c:v>
                </c:pt>
                <c:pt idx="186">
                  <c:v>622</c:v>
                </c:pt>
                <c:pt idx="187">
                  <c:v>624</c:v>
                </c:pt>
                <c:pt idx="188">
                  <c:v>626</c:v>
                </c:pt>
                <c:pt idx="189">
                  <c:v>628</c:v>
                </c:pt>
                <c:pt idx="190">
                  <c:v>630</c:v>
                </c:pt>
                <c:pt idx="191">
                  <c:v>632</c:v>
                </c:pt>
                <c:pt idx="192">
                  <c:v>634</c:v>
                </c:pt>
                <c:pt idx="193">
                  <c:v>636</c:v>
                </c:pt>
                <c:pt idx="194">
                  <c:v>638</c:v>
                </c:pt>
                <c:pt idx="195">
                  <c:v>640</c:v>
                </c:pt>
                <c:pt idx="196">
                  <c:v>642</c:v>
                </c:pt>
                <c:pt idx="197">
                  <c:v>644</c:v>
                </c:pt>
                <c:pt idx="198">
                  <c:v>646</c:v>
                </c:pt>
                <c:pt idx="199">
                  <c:v>648</c:v>
                </c:pt>
                <c:pt idx="200">
                  <c:v>650</c:v>
                </c:pt>
                <c:pt idx="201">
                  <c:v>652</c:v>
                </c:pt>
                <c:pt idx="202">
                  <c:v>654</c:v>
                </c:pt>
                <c:pt idx="203">
                  <c:v>656</c:v>
                </c:pt>
                <c:pt idx="204">
                  <c:v>658</c:v>
                </c:pt>
                <c:pt idx="205">
                  <c:v>660</c:v>
                </c:pt>
                <c:pt idx="206">
                  <c:v>662</c:v>
                </c:pt>
                <c:pt idx="207">
                  <c:v>664</c:v>
                </c:pt>
                <c:pt idx="208">
                  <c:v>666</c:v>
                </c:pt>
                <c:pt idx="209">
                  <c:v>668</c:v>
                </c:pt>
                <c:pt idx="210">
                  <c:v>670</c:v>
                </c:pt>
                <c:pt idx="211">
                  <c:v>672</c:v>
                </c:pt>
                <c:pt idx="212">
                  <c:v>674</c:v>
                </c:pt>
                <c:pt idx="213">
                  <c:v>676</c:v>
                </c:pt>
                <c:pt idx="214">
                  <c:v>678</c:v>
                </c:pt>
                <c:pt idx="215">
                  <c:v>680</c:v>
                </c:pt>
                <c:pt idx="216">
                  <c:v>682</c:v>
                </c:pt>
                <c:pt idx="217">
                  <c:v>684</c:v>
                </c:pt>
                <c:pt idx="218">
                  <c:v>686</c:v>
                </c:pt>
                <c:pt idx="219">
                  <c:v>688</c:v>
                </c:pt>
                <c:pt idx="220">
                  <c:v>690</c:v>
                </c:pt>
                <c:pt idx="221">
                  <c:v>692</c:v>
                </c:pt>
                <c:pt idx="222">
                  <c:v>694</c:v>
                </c:pt>
                <c:pt idx="223">
                  <c:v>696</c:v>
                </c:pt>
                <c:pt idx="224">
                  <c:v>698</c:v>
                </c:pt>
                <c:pt idx="225">
                  <c:v>700</c:v>
                </c:pt>
                <c:pt idx="226">
                  <c:v>702</c:v>
                </c:pt>
                <c:pt idx="227">
                  <c:v>704</c:v>
                </c:pt>
                <c:pt idx="228">
                  <c:v>706</c:v>
                </c:pt>
                <c:pt idx="229">
                  <c:v>708</c:v>
                </c:pt>
                <c:pt idx="230">
                  <c:v>710</c:v>
                </c:pt>
                <c:pt idx="231">
                  <c:v>712</c:v>
                </c:pt>
                <c:pt idx="232">
                  <c:v>714</c:v>
                </c:pt>
                <c:pt idx="233">
                  <c:v>716</c:v>
                </c:pt>
                <c:pt idx="234">
                  <c:v>718</c:v>
                </c:pt>
                <c:pt idx="235">
                  <c:v>720</c:v>
                </c:pt>
                <c:pt idx="236">
                  <c:v>722</c:v>
                </c:pt>
                <c:pt idx="237">
                  <c:v>724</c:v>
                </c:pt>
                <c:pt idx="238">
                  <c:v>726</c:v>
                </c:pt>
                <c:pt idx="239">
                  <c:v>728</c:v>
                </c:pt>
                <c:pt idx="240">
                  <c:v>730</c:v>
                </c:pt>
                <c:pt idx="241">
                  <c:v>732</c:v>
                </c:pt>
                <c:pt idx="242">
                  <c:v>734</c:v>
                </c:pt>
                <c:pt idx="243">
                  <c:v>736</c:v>
                </c:pt>
                <c:pt idx="244">
                  <c:v>738</c:v>
                </c:pt>
                <c:pt idx="245">
                  <c:v>740</c:v>
                </c:pt>
                <c:pt idx="246">
                  <c:v>742</c:v>
                </c:pt>
                <c:pt idx="247">
                  <c:v>744</c:v>
                </c:pt>
                <c:pt idx="248">
                  <c:v>746</c:v>
                </c:pt>
                <c:pt idx="249">
                  <c:v>748</c:v>
                </c:pt>
                <c:pt idx="250">
                  <c:v>750</c:v>
                </c:pt>
                <c:pt idx="251">
                  <c:v>752</c:v>
                </c:pt>
                <c:pt idx="252">
                  <c:v>754</c:v>
                </c:pt>
                <c:pt idx="253">
                  <c:v>756</c:v>
                </c:pt>
                <c:pt idx="254">
                  <c:v>758</c:v>
                </c:pt>
                <c:pt idx="255">
                  <c:v>760</c:v>
                </c:pt>
                <c:pt idx="256">
                  <c:v>762</c:v>
                </c:pt>
                <c:pt idx="257">
                  <c:v>764</c:v>
                </c:pt>
                <c:pt idx="258">
                  <c:v>766</c:v>
                </c:pt>
                <c:pt idx="259">
                  <c:v>768</c:v>
                </c:pt>
                <c:pt idx="260">
                  <c:v>770</c:v>
                </c:pt>
                <c:pt idx="261">
                  <c:v>772</c:v>
                </c:pt>
                <c:pt idx="262">
                  <c:v>774</c:v>
                </c:pt>
                <c:pt idx="263">
                  <c:v>776</c:v>
                </c:pt>
                <c:pt idx="264">
                  <c:v>778</c:v>
                </c:pt>
                <c:pt idx="265">
                  <c:v>780</c:v>
                </c:pt>
                <c:pt idx="266">
                  <c:v>782</c:v>
                </c:pt>
                <c:pt idx="267">
                  <c:v>784</c:v>
                </c:pt>
                <c:pt idx="268">
                  <c:v>786</c:v>
                </c:pt>
                <c:pt idx="269">
                  <c:v>788</c:v>
                </c:pt>
                <c:pt idx="270">
                  <c:v>790</c:v>
                </c:pt>
                <c:pt idx="271">
                  <c:v>792</c:v>
                </c:pt>
                <c:pt idx="272">
                  <c:v>794</c:v>
                </c:pt>
                <c:pt idx="273">
                  <c:v>796</c:v>
                </c:pt>
                <c:pt idx="274">
                  <c:v>798</c:v>
                </c:pt>
                <c:pt idx="275">
                  <c:v>800</c:v>
                </c:pt>
                <c:pt idx="276">
                  <c:v>802</c:v>
                </c:pt>
                <c:pt idx="277">
                  <c:v>804</c:v>
                </c:pt>
                <c:pt idx="278">
                  <c:v>806</c:v>
                </c:pt>
                <c:pt idx="279">
                  <c:v>808</c:v>
                </c:pt>
                <c:pt idx="280">
                  <c:v>810</c:v>
                </c:pt>
                <c:pt idx="281">
                  <c:v>812</c:v>
                </c:pt>
                <c:pt idx="282">
                  <c:v>814</c:v>
                </c:pt>
                <c:pt idx="283">
                  <c:v>816</c:v>
                </c:pt>
                <c:pt idx="284">
                  <c:v>818</c:v>
                </c:pt>
                <c:pt idx="285">
                  <c:v>820</c:v>
                </c:pt>
                <c:pt idx="286">
                  <c:v>822</c:v>
                </c:pt>
                <c:pt idx="287">
                  <c:v>824</c:v>
                </c:pt>
                <c:pt idx="288">
                  <c:v>826</c:v>
                </c:pt>
                <c:pt idx="289">
                  <c:v>828</c:v>
                </c:pt>
                <c:pt idx="290">
                  <c:v>830</c:v>
                </c:pt>
                <c:pt idx="291">
                  <c:v>832</c:v>
                </c:pt>
                <c:pt idx="292">
                  <c:v>834</c:v>
                </c:pt>
                <c:pt idx="293">
                  <c:v>836</c:v>
                </c:pt>
                <c:pt idx="294">
                  <c:v>838</c:v>
                </c:pt>
                <c:pt idx="295">
                  <c:v>840</c:v>
                </c:pt>
                <c:pt idx="296">
                  <c:v>842</c:v>
                </c:pt>
                <c:pt idx="297">
                  <c:v>844</c:v>
                </c:pt>
                <c:pt idx="298">
                  <c:v>846</c:v>
                </c:pt>
                <c:pt idx="299">
                  <c:v>848</c:v>
                </c:pt>
                <c:pt idx="300">
                  <c:v>850</c:v>
                </c:pt>
                <c:pt idx="301">
                  <c:v>852</c:v>
                </c:pt>
                <c:pt idx="302">
                  <c:v>854</c:v>
                </c:pt>
                <c:pt idx="303">
                  <c:v>856</c:v>
                </c:pt>
                <c:pt idx="304">
                  <c:v>858</c:v>
                </c:pt>
                <c:pt idx="305">
                  <c:v>860</c:v>
                </c:pt>
                <c:pt idx="306">
                  <c:v>862</c:v>
                </c:pt>
                <c:pt idx="307">
                  <c:v>864</c:v>
                </c:pt>
                <c:pt idx="308">
                  <c:v>866</c:v>
                </c:pt>
                <c:pt idx="309">
                  <c:v>868</c:v>
                </c:pt>
                <c:pt idx="310">
                  <c:v>870</c:v>
                </c:pt>
                <c:pt idx="311">
                  <c:v>872</c:v>
                </c:pt>
                <c:pt idx="312">
                  <c:v>874</c:v>
                </c:pt>
                <c:pt idx="313">
                  <c:v>876</c:v>
                </c:pt>
                <c:pt idx="314">
                  <c:v>878</c:v>
                </c:pt>
                <c:pt idx="315">
                  <c:v>880</c:v>
                </c:pt>
                <c:pt idx="316">
                  <c:v>882</c:v>
                </c:pt>
                <c:pt idx="317">
                  <c:v>884</c:v>
                </c:pt>
                <c:pt idx="318">
                  <c:v>886</c:v>
                </c:pt>
                <c:pt idx="319">
                  <c:v>888</c:v>
                </c:pt>
                <c:pt idx="320">
                  <c:v>890</c:v>
                </c:pt>
                <c:pt idx="321">
                  <c:v>892</c:v>
                </c:pt>
                <c:pt idx="322">
                  <c:v>894</c:v>
                </c:pt>
                <c:pt idx="323">
                  <c:v>896</c:v>
                </c:pt>
                <c:pt idx="324">
                  <c:v>898</c:v>
                </c:pt>
                <c:pt idx="325">
                  <c:v>900</c:v>
                </c:pt>
                <c:pt idx="326">
                  <c:v>902</c:v>
                </c:pt>
                <c:pt idx="327">
                  <c:v>904</c:v>
                </c:pt>
                <c:pt idx="328">
                  <c:v>906</c:v>
                </c:pt>
                <c:pt idx="329">
                  <c:v>908</c:v>
                </c:pt>
                <c:pt idx="330">
                  <c:v>910</c:v>
                </c:pt>
                <c:pt idx="331">
                  <c:v>912</c:v>
                </c:pt>
                <c:pt idx="332">
                  <c:v>914</c:v>
                </c:pt>
                <c:pt idx="333">
                  <c:v>916</c:v>
                </c:pt>
                <c:pt idx="334">
                  <c:v>918</c:v>
                </c:pt>
                <c:pt idx="335">
                  <c:v>920</c:v>
                </c:pt>
                <c:pt idx="336">
                  <c:v>922</c:v>
                </c:pt>
                <c:pt idx="337">
                  <c:v>924</c:v>
                </c:pt>
                <c:pt idx="338">
                  <c:v>926</c:v>
                </c:pt>
                <c:pt idx="339">
                  <c:v>928</c:v>
                </c:pt>
                <c:pt idx="340">
                  <c:v>930</c:v>
                </c:pt>
                <c:pt idx="341">
                  <c:v>932</c:v>
                </c:pt>
                <c:pt idx="342">
                  <c:v>934</c:v>
                </c:pt>
                <c:pt idx="343">
                  <c:v>936</c:v>
                </c:pt>
                <c:pt idx="344">
                  <c:v>938</c:v>
                </c:pt>
                <c:pt idx="345">
                  <c:v>940</c:v>
                </c:pt>
                <c:pt idx="346">
                  <c:v>942</c:v>
                </c:pt>
                <c:pt idx="347">
                  <c:v>944</c:v>
                </c:pt>
                <c:pt idx="348">
                  <c:v>946</c:v>
                </c:pt>
                <c:pt idx="349">
                  <c:v>948</c:v>
                </c:pt>
                <c:pt idx="350">
                  <c:v>950</c:v>
                </c:pt>
                <c:pt idx="351">
                  <c:v>952</c:v>
                </c:pt>
                <c:pt idx="352">
                  <c:v>954</c:v>
                </c:pt>
                <c:pt idx="353">
                  <c:v>956</c:v>
                </c:pt>
                <c:pt idx="354">
                  <c:v>958</c:v>
                </c:pt>
                <c:pt idx="355">
                  <c:v>960</c:v>
                </c:pt>
                <c:pt idx="356">
                  <c:v>962</c:v>
                </c:pt>
                <c:pt idx="357">
                  <c:v>964</c:v>
                </c:pt>
                <c:pt idx="358">
                  <c:v>966</c:v>
                </c:pt>
                <c:pt idx="359">
                  <c:v>968</c:v>
                </c:pt>
                <c:pt idx="360">
                  <c:v>970</c:v>
                </c:pt>
                <c:pt idx="361">
                  <c:v>972</c:v>
                </c:pt>
                <c:pt idx="362">
                  <c:v>974</c:v>
                </c:pt>
                <c:pt idx="363">
                  <c:v>976</c:v>
                </c:pt>
                <c:pt idx="364">
                  <c:v>978</c:v>
                </c:pt>
                <c:pt idx="365">
                  <c:v>980</c:v>
                </c:pt>
                <c:pt idx="366">
                  <c:v>982</c:v>
                </c:pt>
                <c:pt idx="367">
                  <c:v>984</c:v>
                </c:pt>
                <c:pt idx="368">
                  <c:v>986</c:v>
                </c:pt>
                <c:pt idx="369">
                  <c:v>988</c:v>
                </c:pt>
                <c:pt idx="370">
                  <c:v>990</c:v>
                </c:pt>
                <c:pt idx="371">
                  <c:v>992</c:v>
                </c:pt>
                <c:pt idx="372">
                  <c:v>994</c:v>
                </c:pt>
                <c:pt idx="373">
                  <c:v>996</c:v>
                </c:pt>
                <c:pt idx="374">
                  <c:v>998</c:v>
                </c:pt>
                <c:pt idx="375">
                  <c:v>1000</c:v>
                </c:pt>
                <c:pt idx="376">
                  <c:v>1002</c:v>
                </c:pt>
                <c:pt idx="377">
                  <c:v>1004</c:v>
                </c:pt>
                <c:pt idx="378">
                  <c:v>1006</c:v>
                </c:pt>
                <c:pt idx="379">
                  <c:v>1008</c:v>
                </c:pt>
                <c:pt idx="380">
                  <c:v>1010</c:v>
                </c:pt>
                <c:pt idx="381">
                  <c:v>1012</c:v>
                </c:pt>
                <c:pt idx="382">
                  <c:v>1014</c:v>
                </c:pt>
                <c:pt idx="383">
                  <c:v>1016</c:v>
                </c:pt>
                <c:pt idx="384">
                  <c:v>1018</c:v>
                </c:pt>
                <c:pt idx="385">
                  <c:v>1020</c:v>
                </c:pt>
                <c:pt idx="386">
                  <c:v>1022</c:v>
                </c:pt>
                <c:pt idx="387">
                  <c:v>1024</c:v>
                </c:pt>
                <c:pt idx="388">
                  <c:v>1026</c:v>
                </c:pt>
                <c:pt idx="389">
                  <c:v>1028</c:v>
                </c:pt>
                <c:pt idx="390">
                  <c:v>1030</c:v>
                </c:pt>
                <c:pt idx="391">
                  <c:v>1032</c:v>
                </c:pt>
                <c:pt idx="392">
                  <c:v>1034</c:v>
                </c:pt>
                <c:pt idx="393">
                  <c:v>1036</c:v>
                </c:pt>
                <c:pt idx="394">
                  <c:v>1038</c:v>
                </c:pt>
                <c:pt idx="395">
                  <c:v>1040</c:v>
                </c:pt>
                <c:pt idx="396">
                  <c:v>1042</c:v>
                </c:pt>
                <c:pt idx="397">
                  <c:v>1044</c:v>
                </c:pt>
                <c:pt idx="398">
                  <c:v>1046</c:v>
                </c:pt>
                <c:pt idx="399">
                  <c:v>1048</c:v>
                </c:pt>
                <c:pt idx="400">
                  <c:v>1050</c:v>
                </c:pt>
                <c:pt idx="401">
                  <c:v>1052</c:v>
                </c:pt>
                <c:pt idx="402">
                  <c:v>1054</c:v>
                </c:pt>
                <c:pt idx="403">
                  <c:v>1056</c:v>
                </c:pt>
                <c:pt idx="404">
                  <c:v>1058</c:v>
                </c:pt>
                <c:pt idx="405">
                  <c:v>1060</c:v>
                </c:pt>
                <c:pt idx="406">
                  <c:v>1062</c:v>
                </c:pt>
                <c:pt idx="407">
                  <c:v>1064</c:v>
                </c:pt>
                <c:pt idx="408">
                  <c:v>1066</c:v>
                </c:pt>
                <c:pt idx="409">
                  <c:v>1068</c:v>
                </c:pt>
                <c:pt idx="410">
                  <c:v>1070</c:v>
                </c:pt>
                <c:pt idx="411">
                  <c:v>1072</c:v>
                </c:pt>
                <c:pt idx="412">
                  <c:v>1074</c:v>
                </c:pt>
                <c:pt idx="413">
                  <c:v>1076</c:v>
                </c:pt>
                <c:pt idx="414">
                  <c:v>1078</c:v>
                </c:pt>
                <c:pt idx="415">
                  <c:v>1080</c:v>
                </c:pt>
                <c:pt idx="416">
                  <c:v>1082</c:v>
                </c:pt>
                <c:pt idx="417">
                  <c:v>1084</c:v>
                </c:pt>
                <c:pt idx="418">
                  <c:v>1086</c:v>
                </c:pt>
                <c:pt idx="419">
                  <c:v>1088</c:v>
                </c:pt>
                <c:pt idx="420">
                  <c:v>1090</c:v>
                </c:pt>
                <c:pt idx="421">
                  <c:v>1092</c:v>
                </c:pt>
                <c:pt idx="422">
                  <c:v>1094</c:v>
                </c:pt>
                <c:pt idx="423">
                  <c:v>1096</c:v>
                </c:pt>
                <c:pt idx="424">
                  <c:v>1098</c:v>
                </c:pt>
                <c:pt idx="425">
                  <c:v>1100</c:v>
                </c:pt>
                <c:pt idx="426">
                  <c:v>1102</c:v>
                </c:pt>
                <c:pt idx="427">
                  <c:v>1104</c:v>
                </c:pt>
                <c:pt idx="428">
                  <c:v>1106</c:v>
                </c:pt>
                <c:pt idx="429">
                  <c:v>1108</c:v>
                </c:pt>
                <c:pt idx="430">
                  <c:v>1110</c:v>
                </c:pt>
                <c:pt idx="431">
                  <c:v>1112</c:v>
                </c:pt>
                <c:pt idx="432">
                  <c:v>1114</c:v>
                </c:pt>
                <c:pt idx="433">
                  <c:v>1116</c:v>
                </c:pt>
                <c:pt idx="434">
                  <c:v>1118</c:v>
                </c:pt>
                <c:pt idx="435">
                  <c:v>1120</c:v>
                </c:pt>
                <c:pt idx="436">
                  <c:v>1122</c:v>
                </c:pt>
                <c:pt idx="437">
                  <c:v>1124</c:v>
                </c:pt>
                <c:pt idx="438">
                  <c:v>1126</c:v>
                </c:pt>
                <c:pt idx="439">
                  <c:v>1128</c:v>
                </c:pt>
                <c:pt idx="440">
                  <c:v>1130</c:v>
                </c:pt>
                <c:pt idx="441">
                  <c:v>1132</c:v>
                </c:pt>
                <c:pt idx="442">
                  <c:v>1134</c:v>
                </c:pt>
                <c:pt idx="443">
                  <c:v>1136</c:v>
                </c:pt>
                <c:pt idx="444">
                  <c:v>1138</c:v>
                </c:pt>
                <c:pt idx="445">
                  <c:v>1140</c:v>
                </c:pt>
                <c:pt idx="446">
                  <c:v>1142</c:v>
                </c:pt>
                <c:pt idx="447">
                  <c:v>1144</c:v>
                </c:pt>
                <c:pt idx="448">
                  <c:v>1146</c:v>
                </c:pt>
                <c:pt idx="449">
                  <c:v>1148</c:v>
                </c:pt>
                <c:pt idx="450">
                  <c:v>1150</c:v>
                </c:pt>
                <c:pt idx="451">
                  <c:v>1152</c:v>
                </c:pt>
                <c:pt idx="452">
                  <c:v>1154</c:v>
                </c:pt>
                <c:pt idx="453">
                  <c:v>1156</c:v>
                </c:pt>
                <c:pt idx="454">
                  <c:v>1158</c:v>
                </c:pt>
                <c:pt idx="455">
                  <c:v>1160</c:v>
                </c:pt>
                <c:pt idx="456">
                  <c:v>1162</c:v>
                </c:pt>
                <c:pt idx="457">
                  <c:v>1164</c:v>
                </c:pt>
                <c:pt idx="458">
                  <c:v>1166</c:v>
                </c:pt>
                <c:pt idx="459">
                  <c:v>1168</c:v>
                </c:pt>
                <c:pt idx="460">
                  <c:v>1170</c:v>
                </c:pt>
                <c:pt idx="461">
                  <c:v>1172</c:v>
                </c:pt>
                <c:pt idx="462">
                  <c:v>1174</c:v>
                </c:pt>
                <c:pt idx="463">
                  <c:v>1176</c:v>
                </c:pt>
                <c:pt idx="464">
                  <c:v>1178</c:v>
                </c:pt>
                <c:pt idx="465">
                  <c:v>1180</c:v>
                </c:pt>
                <c:pt idx="466">
                  <c:v>1182</c:v>
                </c:pt>
                <c:pt idx="467">
                  <c:v>1184</c:v>
                </c:pt>
                <c:pt idx="468">
                  <c:v>1186</c:v>
                </c:pt>
                <c:pt idx="469">
                  <c:v>1188</c:v>
                </c:pt>
                <c:pt idx="470">
                  <c:v>1190</c:v>
                </c:pt>
                <c:pt idx="471">
                  <c:v>1192</c:v>
                </c:pt>
                <c:pt idx="472">
                  <c:v>1194</c:v>
                </c:pt>
                <c:pt idx="473">
                  <c:v>1196</c:v>
                </c:pt>
                <c:pt idx="474">
                  <c:v>1198</c:v>
                </c:pt>
                <c:pt idx="475">
                  <c:v>1200</c:v>
                </c:pt>
                <c:pt idx="476">
                  <c:v>1202</c:v>
                </c:pt>
                <c:pt idx="477">
                  <c:v>1204</c:v>
                </c:pt>
                <c:pt idx="478">
                  <c:v>1206</c:v>
                </c:pt>
                <c:pt idx="479">
                  <c:v>1208</c:v>
                </c:pt>
                <c:pt idx="480">
                  <c:v>1210</c:v>
                </c:pt>
                <c:pt idx="481">
                  <c:v>1212</c:v>
                </c:pt>
                <c:pt idx="482">
                  <c:v>1214</c:v>
                </c:pt>
                <c:pt idx="483">
                  <c:v>1216</c:v>
                </c:pt>
                <c:pt idx="484">
                  <c:v>1218</c:v>
                </c:pt>
                <c:pt idx="485">
                  <c:v>1220</c:v>
                </c:pt>
                <c:pt idx="486">
                  <c:v>1222</c:v>
                </c:pt>
                <c:pt idx="487">
                  <c:v>1224</c:v>
                </c:pt>
                <c:pt idx="488">
                  <c:v>1226</c:v>
                </c:pt>
                <c:pt idx="489">
                  <c:v>1228</c:v>
                </c:pt>
                <c:pt idx="490">
                  <c:v>1230</c:v>
                </c:pt>
                <c:pt idx="491">
                  <c:v>1232</c:v>
                </c:pt>
                <c:pt idx="492">
                  <c:v>1234</c:v>
                </c:pt>
                <c:pt idx="493">
                  <c:v>1236</c:v>
                </c:pt>
                <c:pt idx="494">
                  <c:v>1238</c:v>
                </c:pt>
                <c:pt idx="495">
                  <c:v>1240</c:v>
                </c:pt>
                <c:pt idx="496">
                  <c:v>1242</c:v>
                </c:pt>
                <c:pt idx="497">
                  <c:v>1244</c:v>
                </c:pt>
                <c:pt idx="498">
                  <c:v>1246</c:v>
                </c:pt>
                <c:pt idx="499">
                  <c:v>1248</c:v>
                </c:pt>
                <c:pt idx="500">
                  <c:v>1250</c:v>
                </c:pt>
                <c:pt idx="501">
                  <c:v>1252</c:v>
                </c:pt>
                <c:pt idx="502">
                  <c:v>1254</c:v>
                </c:pt>
                <c:pt idx="503">
                  <c:v>1256</c:v>
                </c:pt>
                <c:pt idx="504">
                  <c:v>1258</c:v>
                </c:pt>
                <c:pt idx="505">
                  <c:v>1260</c:v>
                </c:pt>
                <c:pt idx="506">
                  <c:v>1262</c:v>
                </c:pt>
                <c:pt idx="507">
                  <c:v>1264</c:v>
                </c:pt>
                <c:pt idx="508">
                  <c:v>1266</c:v>
                </c:pt>
                <c:pt idx="509">
                  <c:v>1268</c:v>
                </c:pt>
                <c:pt idx="510">
                  <c:v>1270</c:v>
                </c:pt>
                <c:pt idx="511">
                  <c:v>1272</c:v>
                </c:pt>
                <c:pt idx="512">
                  <c:v>1274</c:v>
                </c:pt>
                <c:pt idx="513">
                  <c:v>1276</c:v>
                </c:pt>
                <c:pt idx="514">
                  <c:v>1278</c:v>
                </c:pt>
                <c:pt idx="515">
                  <c:v>1280</c:v>
                </c:pt>
                <c:pt idx="516">
                  <c:v>1282</c:v>
                </c:pt>
                <c:pt idx="517">
                  <c:v>1284</c:v>
                </c:pt>
                <c:pt idx="518">
                  <c:v>1286</c:v>
                </c:pt>
                <c:pt idx="519">
                  <c:v>1288</c:v>
                </c:pt>
                <c:pt idx="520">
                  <c:v>1290</c:v>
                </c:pt>
                <c:pt idx="521">
                  <c:v>1292</c:v>
                </c:pt>
                <c:pt idx="522">
                  <c:v>1294</c:v>
                </c:pt>
                <c:pt idx="523">
                  <c:v>1296</c:v>
                </c:pt>
                <c:pt idx="524">
                  <c:v>1298</c:v>
                </c:pt>
                <c:pt idx="525">
                  <c:v>1300</c:v>
                </c:pt>
                <c:pt idx="526">
                  <c:v>1302</c:v>
                </c:pt>
                <c:pt idx="527">
                  <c:v>1304</c:v>
                </c:pt>
                <c:pt idx="528">
                  <c:v>1306</c:v>
                </c:pt>
                <c:pt idx="529">
                  <c:v>1308</c:v>
                </c:pt>
                <c:pt idx="530">
                  <c:v>1310</c:v>
                </c:pt>
                <c:pt idx="531">
                  <c:v>1312</c:v>
                </c:pt>
                <c:pt idx="532">
                  <c:v>1314</c:v>
                </c:pt>
                <c:pt idx="533">
                  <c:v>1316</c:v>
                </c:pt>
                <c:pt idx="534">
                  <c:v>1318</c:v>
                </c:pt>
                <c:pt idx="535">
                  <c:v>1320</c:v>
                </c:pt>
                <c:pt idx="536">
                  <c:v>1322</c:v>
                </c:pt>
                <c:pt idx="537">
                  <c:v>1324</c:v>
                </c:pt>
                <c:pt idx="538">
                  <c:v>1326</c:v>
                </c:pt>
                <c:pt idx="539">
                  <c:v>1328</c:v>
                </c:pt>
                <c:pt idx="540">
                  <c:v>1330</c:v>
                </c:pt>
                <c:pt idx="541">
                  <c:v>1332</c:v>
                </c:pt>
                <c:pt idx="542">
                  <c:v>1334</c:v>
                </c:pt>
                <c:pt idx="543">
                  <c:v>1336</c:v>
                </c:pt>
                <c:pt idx="544">
                  <c:v>1338</c:v>
                </c:pt>
                <c:pt idx="545">
                  <c:v>1340</c:v>
                </c:pt>
                <c:pt idx="546">
                  <c:v>1342</c:v>
                </c:pt>
                <c:pt idx="547">
                  <c:v>1344</c:v>
                </c:pt>
                <c:pt idx="548">
                  <c:v>1346</c:v>
                </c:pt>
                <c:pt idx="549">
                  <c:v>1348</c:v>
                </c:pt>
                <c:pt idx="550">
                  <c:v>1350</c:v>
                </c:pt>
                <c:pt idx="551">
                  <c:v>1352</c:v>
                </c:pt>
                <c:pt idx="552">
                  <c:v>1354</c:v>
                </c:pt>
                <c:pt idx="553">
                  <c:v>1356</c:v>
                </c:pt>
                <c:pt idx="554">
                  <c:v>1358</c:v>
                </c:pt>
                <c:pt idx="555">
                  <c:v>1360</c:v>
                </c:pt>
                <c:pt idx="556">
                  <c:v>1362</c:v>
                </c:pt>
                <c:pt idx="557">
                  <c:v>1364</c:v>
                </c:pt>
                <c:pt idx="558">
                  <c:v>1366</c:v>
                </c:pt>
                <c:pt idx="559">
                  <c:v>1368</c:v>
                </c:pt>
                <c:pt idx="560">
                  <c:v>1370</c:v>
                </c:pt>
                <c:pt idx="561">
                  <c:v>1372</c:v>
                </c:pt>
                <c:pt idx="562">
                  <c:v>1374</c:v>
                </c:pt>
                <c:pt idx="563">
                  <c:v>1376</c:v>
                </c:pt>
                <c:pt idx="564">
                  <c:v>1378</c:v>
                </c:pt>
                <c:pt idx="565">
                  <c:v>1380</c:v>
                </c:pt>
                <c:pt idx="566">
                  <c:v>1382</c:v>
                </c:pt>
                <c:pt idx="567">
                  <c:v>1384</c:v>
                </c:pt>
                <c:pt idx="568">
                  <c:v>1386</c:v>
                </c:pt>
                <c:pt idx="569">
                  <c:v>1388</c:v>
                </c:pt>
                <c:pt idx="570">
                  <c:v>1390</c:v>
                </c:pt>
                <c:pt idx="571">
                  <c:v>1392</c:v>
                </c:pt>
                <c:pt idx="572">
                  <c:v>1394</c:v>
                </c:pt>
                <c:pt idx="573">
                  <c:v>1396</c:v>
                </c:pt>
                <c:pt idx="574">
                  <c:v>1398</c:v>
                </c:pt>
                <c:pt idx="575">
                  <c:v>1400</c:v>
                </c:pt>
              </c:numCache>
            </c:numRef>
          </c:yVal>
          <c:smooth val="0"/>
        </c:ser>
        <c:ser>
          <c:idx val="2"/>
          <c:order val="2"/>
          <c:tx>
            <c:v>State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Brayton Cycle'!$D$33</c:f>
              <c:numCache/>
            </c:numRef>
          </c:xVal>
          <c:yVal>
            <c:numRef>
              <c:f>'simple Brayton Cycle'!$C$33</c:f>
              <c:numCache/>
            </c:numRef>
          </c:yVal>
          <c:smooth val="0"/>
        </c:ser>
        <c:ser>
          <c:idx val="3"/>
          <c:order val="3"/>
          <c:tx>
            <c:v>State 2_is_GM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Brayton Cycle'!$D$35</c:f>
              <c:numCache/>
            </c:numRef>
          </c:xVal>
          <c:yVal>
            <c:numRef>
              <c:f>'simple Brayton Cycle'!$C$35</c:f>
              <c:numCache/>
            </c:numRef>
          </c:yVal>
          <c:smooth val="0"/>
        </c:ser>
        <c:ser>
          <c:idx val="4"/>
          <c:order val="4"/>
          <c:tx>
            <c:v>State 2_GM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Brayton Cycle'!$D$44</c:f>
              <c:numCache/>
            </c:numRef>
          </c:xVal>
          <c:yVal>
            <c:numRef>
              <c:f>'simple Brayton Cycle'!$C$44</c:f>
              <c:numCache/>
            </c:numRef>
          </c:yVal>
          <c:smooth val="0"/>
        </c:ser>
        <c:ser>
          <c:idx val="5"/>
          <c:order val="5"/>
          <c:tx>
            <c:v>State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Brayton Cycle'!$D$52</c:f>
              <c:numCache/>
            </c:numRef>
          </c:xVal>
          <c:yVal>
            <c:numRef>
              <c:f>'simple Brayton Cycle'!$C$52</c:f>
              <c:numCache/>
            </c:numRef>
          </c:yVal>
          <c:smooth val="0"/>
        </c:ser>
        <c:ser>
          <c:idx val="6"/>
          <c:order val="6"/>
          <c:tx>
            <c:v>State 4_is_GM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Brayton Cycle'!$D$54</c:f>
              <c:numCache/>
            </c:numRef>
          </c:xVal>
          <c:yVal>
            <c:numRef>
              <c:f>'simple Brayton Cycle'!$C$54</c:f>
              <c:numCache/>
            </c:numRef>
          </c:yVal>
          <c:smooth val="0"/>
        </c:ser>
        <c:ser>
          <c:idx val="7"/>
          <c:order val="7"/>
          <c:tx>
            <c:v>State 4_GM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Brayton Cycle'!$D$63</c:f>
              <c:numCache/>
            </c:numRef>
          </c:xVal>
          <c:yVal>
            <c:numRef>
              <c:f>'simple Brayton Cycle'!$C$63</c:f>
              <c:numCache/>
            </c:numRef>
          </c:yVal>
          <c:smooth val="0"/>
        </c:ser>
        <c:ser>
          <c:idx val="8"/>
          <c:order val="8"/>
          <c:tx>
            <c:v>isoentropic compression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data'!$N$8:$N$108</c:f>
              <c:numCache>
                <c:ptCount val="101"/>
                <c:pt idx="0">
                  <c:v>6.8418107413291445</c:v>
                </c:pt>
                <c:pt idx="1">
                  <c:v>6.8418107413291445</c:v>
                </c:pt>
                <c:pt idx="2">
                  <c:v>6.8418107413291445</c:v>
                </c:pt>
                <c:pt idx="3">
                  <c:v>6.8418107413291445</c:v>
                </c:pt>
                <c:pt idx="4">
                  <c:v>6.8418107413291445</c:v>
                </c:pt>
                <c:pt idx="5">
                  <c:v>6.8418107413291445</c:v>
                </c:pt>
                <c:pt idx="6">
                  <c:v>6.8418107413291445</c:v>
                </c:pt>
                <c:pt idx="7">
                  <c:v>6.8418107413291445</c:v>
                </c:pt>
                <c:pt idx="8">
                  <c:v>6.8418107413291445</c:v>
                </c:pt>
                <c:pt idx="9">
                  <c:v>6.8418107413291445</c:v>
                </c:pt>
                <c:pt idx="10">
                  <c:v>6.8418107413291445</c:v>
                </c:pt>
                <c:pt idx="11">
                  <c:v>6.8418107413291445</c:v>
                </c:pt>
                <c:pt idx="12">
                  <c:v>6.8418107413291445</c:v>
                </c:pt>
                <c:pt idx="13">
                  <c:v>6.8418107413291445</c:v>
                </c:pt>
                <c:pt idx="14">
                  <c:v>6.8418107413291445</c:v>
                </c:pt>
                <c:pt idx="15">
                  <c:v>6.8418107413291445</c:v>
                </c:pt>
                <c:pt idx="16">
                  <c:v>6.8418107413291445</c:v>
                </c:pt>
                <c:pt idx="17">
                  <c:v>6.8418107413291445</c:v>
                </c:pt>
                <c:pt idx="18">
                  <c:v>6.8418107413291445</c:v>
                </c:pt>
                <c:pt idx="19">
                  <c:v>6.8418107413291445</c:v>
                </c:pt>
                <c:pt idx="20">
                  <c:v>6.8418107413291445</c:v>
                </c:pt>
                <c:pt idx="21">
                  <c:v>6.8418107413291445</c:v>
                </c:pt>
                <c:pt idx="22">
                  <c:v>6.8418107413291445</c:v>
                </c:pt>
                <c:pt idx="23">
                  <c:v>6.8418107413291445</c:v>
                </c:pt>
                <c:pt idx="24">
                  <c:v>6.8418107413291445</c:v>
                </c:pt>
                <c:pt idx="25">
                  <c:v>6.8418107413291445</c:v>
                </c:pt>
                <c:pt idx="26">
                  <c:v>6.8418107413291445</c:v>
                </c:pt>
                <c:pt idx="27">
                  <c:v>6.8418107413291445</c:v>
                </c:pt>
                <c:pt idx="28">
                  <c:v>6.8418107413291445</c:v>
                </c:pt>
                <c:pt idx="29">
                  <c:v>6.8418107413291445</c:v>
                </c:pt>
                <c:pt idx="30">
                  <c:v>6.8418107413291445</c:v>
                </c:pt>
                <c:pt idx="31">
                  <c:v>6.8418107413291445</c:v>
                </c:pt>
                <c:pt idx="32">
                  <c:v>6.8418107413291445</c:v>
                </c:pt>
                <c:pt idx="33">
                  <c:v>6.8418107413291445</c:v>
                </c:pt>
                <c:pt idx="34">
                  <c:v>6.8418107413291445</c:v>
                </c:pt>
                <c:pt idx="35">
                  <c:v>6.8418107413291445</c:v>
                </c:pt>
                <c:pt idx="36">
                  <c:v>6.8418107413291445</c:v>
                </c:pt>
                <c:pt idx="37">
                  <c:v>6.8418107413291445</c:v>
                </c:pt>
                <c:pt idx="38">
                  <c:v>6.8418107413291445</c:v>
                </c:pt>
                <c:pt idx="39">
                  <c:v>6.8418107413291445</c:v>
                </c:pt>
                <c:pt idx="40">
                  <c:v>6.8418107413291445</c:v>
                </c:pt>
                <c:pt idx="41">
                  <c:v>6.8418107413291445</c:v>
                </c:pt>
                <c:pt idx="42">
                  <c:v>6.8418107413291445</c:v>
                </c:pt>
                <c:pt idx="43">
                  <c:v>6.8418107413291445</c:v>
                </c:pt>
                <c:pt idx="44">
                  <c:v>6.8418107413291445</c:v>
                </c:pt>
                <c:pt idx="45">
                  <c:v>6.8418107413291445</c:v>
                </c:pt>
                <c:pt idx="46">
                  <c:v>6.8418107413291445</c:v>
                </c:pt>
                <c:pt idx="47">
                  <c:v>6.8418107413291445</c:v>
                </c:pt>
                <c:pt idx="48">
                  <c:v>6.8418107413291445</c:v>
                </c:pt>
                <c:pt idx="49">
                  <c:v>6.8418107413291445</c:v>
                </c:pt>
                <c:pt idx="50">
                  <c:v>6.8418107413291445</c:v>
                </c:pt>
                <c:pt idx="51">
                  <c:v>6.8418107413291445</c:v>
                </c:pt>
                <c:pt idx="52">
                  <c:v>6.8418107413291445</c:v>
                </c:pt>
                <c:pt idx="53">
                  <c:v>6.8418107413291445</c:v>
                </c:pt>
                <c:pt idx="54">
                  <c:v>6.8418107413291445</c:v>
                </c:pt>
                <c:pt idx="55">
                  <c:v>6.8418107413291445</c:v>
                </c:pt>
                <c:pt idx="56">
                  <c:v>6.8418107413291445</c:v>
                </c:pt>
                <c:pt idx="57">
                  <c:v>6.8418107413291445</c:v>
                </c:pt>
                <c:pt idx="58">
                  <c:v>6.8418107413291445</c:v>
                </c:pt>
                <c:pt idx="59">
                  <c:v>6.8418107413291445</c:v>
                </c:pt>
                <c:pt idx="60">
                  <c:v>6.8418107413291445</c:v>
                </c:pt>
                <c:pt idx="61">
                  <c:v>6.8418107413291445</c:v>
                </c:pt>
                <c:pt idx="62">
                  <c:v>6.8418107413291445</c:v>
                </c:pt>
                <c:pt idx="63">
                  <c:v>6.8418107413291445</c:v>
                </c:pt>
                <c:pt idx="64">
                  <c:v>6.8418107413291445</c:v>
                </c:pt>
                <c:pt idx="65">
                  <c:v>6.8418107413291445</c:v>
                </c:pt>
                <c:pt idx="66">
                  <c:v>6.8418107413291445</c:v>
                </c:pt>
                <c:pt idx="67">
                  <c:v>6.8418107413291445</c:v>
                </c:pt>
                <c:pt idx="68">
                  <c:v>6.8418107413291445</c:v>
                </c:pt>
                <c:pt idx="69">
                  <c:v>6.8418107413291445</c:v>
                </c:pt>
                <c:pt idx="70">
                  <c:v>6.8418107413291445</c:v>
                </c:pt>
                <c:pt idx="71">
                  <c:v>6.8418107413291445</c:v>
                </c:pt>
                <c:pt idx="72">
                  <c:v>6.8418107413291445</c:v>
                </c:pt>
                <c:pt idx="73">
                  <c:v>6.8418107413291445</c:v>
                </c:pt>
                <c:pt idx="74">
                  <c:v>6.8418107413291445</c:v>
                </c:pt>
                <c:pt idx="75">
                  <c:v>6.8418107413291445</c:v>
                </c:pt>
                <c:pt idx="76">
                  <c:v>6.8418107413291445</c:v>
                </c:pt>
                <c:pt idx="77">
                  <c:v>6.8418107413291445</c:v>
                </c:pt>
                <c:pt idx="78">
                  <c:v>6.8418107413291445</c:v>
                </c:pt>
                <c:pt idx="79">
                  <c:v>6.8418107413291445</c:v>
                </c:pt>
                <c:pt idx="80">
                  <c:v>6.8418107413291445</c:v>
                </c:pt>
                <c:pt idx="81">
                  <c:v>6.8418107413291445</c:v>
                </c:pt>
                <c:pt idx="82">
                  <c:v>6.8418107413291445</c:v>
                </c:pt>
                <c:pt idx="83">
                  <c:v>6.8418107413291445</c:v>
                </c:pt>
                <c:pt idx="84">
                  <c:v>6.8418107413291445</c:v>
                </c:pt>
                <c:pt idx="85">
                  <c:v>6.8418107413291445</c:v>
                </c:pt>
                <c:pt idx="86">
                  <c:v>6.8418107413291445</c:v>
                </c:pt>
                <c:pt idx="87">
                  <c:v>6.8418107413291445</c:v>
                </c:pt>
                <c:pt idx="88">
                  <c:v>6.8418107413291445</c:v>
                </c:pt>
                <c:pt idx="89">
                  <c:v>6.8418107413291445</c:v>
                </c:pt>
                <c:pt idx="90">
                  <c:v>6.8418107413291445</c:v>
                </c:pt>
                <c:pt idx="91">
                  <c:v>6.8418107413291445</c:v>
                </c:pt>
                <c:pt idx="92">
                  <c:v>6.8418107413291445</c:v>
                </c:pt>
                <c:pt idx="93">
                  <c:v>6.8418107413291445</c:v>
                </c:pt>
                <c:pt idx="94">
                  <c:v>6.8418107413291445</c:v>
                </c:pt>
                <c:pt idx="95">
                  <c:v>6.8418107413291445</c:v>
                </c:pt>
                <c:pt idx="96">
                  <c:v>6.8418107413291445</c:v>
                </c:pt>
                <c:pt idx="97">
                  <c:v>6.8418107413291445</c:v>
                </c:pt>
                <c:pt idx="98">
                  <c:v>6.8418107413291445</c:v>
                </c:pt>
                <c:pt idx="99">
                  <c:v>6.8418107413291445</c:v>
                </c:pt>
                <c:pt idx="100">
                  <c:v>6.8418107413291445</c:v>
                </c:pt>
              </c:numCache>
            </c:numRef>
          </c:xVal>
          <c:yVal>
            <c:numRef>
              <c:f>'T-s diagr. data'!$O$8:$O$108</c:f>
              <c:numCache>
                <c:ptCount val="101"/>
                <c:pt idx="0">
                  <c:v>293.1499998168931</c:v>
                </c:pt>
                <c:pt idx="1">
                  <c:v>295.59556524750474</c:v>
                </c:pt>
                <c:pt idx="2">
                  <c:v>297.9913785199118</c:v>
                </c:pt>
                <c:pt idx="3">
                  <c:v>300.33977955885524</c:v>
                </c:pt>
                <c:pt idx="4">
                  <c:v>302.6429379255467</c:v>
                </c:pt>
                <c:pt idx="5">
                  <c:v>304.9028697744713</c:v>
                </c:pt>
                <c:pt idx="6">
                  <c:v>307.12145233672936</c:v>
                </c:pt>
                <c:pt idx="7">
                  <c:v>309.30043670976926</c:v>
                </c:pt>
                <c:pt idx="8">
                  <c:v>311.4414591878381</c:v>
                </c:pt>
                <c:pt idx="9">
                  <c:v>313.54605133028747</c:v>
                </c:pt>
                <c:pt idx="10">
                  <c:v>315.61564893427084</c:v>
                </c:pt>
                <c:pt idx="11">
                  <c:v>317.6516000531581</c:v>
                </c:pt>
                <c:pt idx="12">
                  <c:v>319.65517218101206</c:v>
                </c:pt>
                <c:pt idx="13">
                  <c:v>321.6275587060306</c:v>
                </c:pt>
                <c:pt idx="14">
                  <c:v>323.56988472125613</c:v>
                </c:pt>
                <c:pt idx="15">
                  <c:v>325.48321226856217</c:v>
                </c:pt>
                <c:pt idx="16">
                  <c:v>327.3685450815906</c:v>
                </c:pt>
                <c:pt idx="17">
                  <c:v>329.2268328845368</c:v>
                </c:pt>
                <c:pt idx="18">
                  <c:v>331.0589752962356</c:v>
                </c:pt>
                <c:pt idx="19">
                  <c:v>332.8658253826664</c:v>
                </c:pt>
                <c:pt idx="20">
                  <c:v>334.6481928955293</c:v>
                </c:pt>
                <c:pt idx="21">
                  <c:v>336.4068472299392</c:v>
                </c:pt>
                <c:pt idx="22">
                  <c:v>338.14252013022394</c:v>
                </c:pt>
                <c:pt idx="23">
                  <c:v>339.8559081693989</c:v>
                </c:pt>
                <c:pt idx="24">
                  <c:v>341.5476750248557</c:v>
                </c:pt>
                <c:pt idx="25">
                  <c:v>343.2184535702443</c:v>
                </c:pt>
                <c:pt idx="26">
                  <c:v>344.8688478012332</c:v>
                </c:pt>
                <c:pt idx="27">
                  <c:v>346.49943461089777</c:v>
                </c:pt>
                <c:pt idx="28">
                  <c:v>348.110765428721</c:v>
                </c:pt>
                <c:pt idx="29">
                  <c:v>349.70336773573547</c:v>
                </c:pt>
                <c:pt idx="30">
                  <c:v>351.27774646695076</c:v>
                </c:pt>
                <c:pt idx="31">
                  <c:v>352.83438531109715</c:v>
                </c:pt>
                <c:pt idx="32">
                  <c:v>354.37374791665707</c:v>
                </c:pt>
                <c:pt idx="33">
                  <c:v>355.89627901224276</c:v>
                </c:pt>
                <c:pt idx="34">
                  <c:v>357.4024054486133</c:v>
                </c:pt>
                <c:pt idx="35">
                  <c:v>358.89253716885156</c:v>
                </c:pt>
                <c:pt idx="36">
                  <c:v>360.3670681126427</c:v>
                </c:pt>
                <c:pt idx="37">
                  <c:v>361.82637705999156</c:v>
                </c:pt>
                <c:pt idx="38">
                  <c:v>363.2708284526116</c:v>
                </c:pt>
                <c:pt idx="39">
                  <c:v>364.70077307310794</c:v>
                </c:pt>
                <c:pt idx="40">
                  <c:v>366.1165486947458</c:v>
                </c:pt>
                <c:pt idx="41">
                  <c:v>367.51848084730136</c:v>
                </c:pt>
                <c:pt idx="42">
                  <c:v>368.9068828657703</c:v>
                </c:pt>
                <c:pt idx="43">
                  <c:v>370.2820584584144</c:v>
                </c:pt>
                <c:pt idx="44">
                  <c:v>371.64429924020595</c:v>
                </c:pt>
                <c:pt idx="45">
                  <c:v>372.99388723421515</c:v>
                </c:pt>
                <c:pt idx="46">
                  <c:v>374.33109484321915</c:v>
                </c:pt>
                <c:pt idx="47">
                  <c:v>375.6561852936798</c:v>
                </c:pt>
                <c:pt idx="48">
                  <c:v>376.96941305400395</c:v>
                </c:pt>
                <c:pt idx="49">
                  <c:v>378.2710242288852</c:v>
                </c:pt>
                <c:pt idx="50">
                  <c:v>379.56125693136573</c:v>
                </c:pt>
                <c:pt idx="51">
                  <c:v>380.8403416341258</c:v>
                </c:pt>
                <c:pt idx="52">
                  <c:v>382.1085015013789</c:v>
                </c:pt>
                <c:pt idx="53">
                  <c:v>383.36595270267986</c:v>
                </c:pt>
                <c:pt idx="54">
                  <c:v>384.6129047098055</c:v>
                </c:pt>
                <c:pt idx="55">
                  <c:v>385.84956057781005</c:v>
                </c:pt>
                <c:pt idx="56">
                  <c:v>387.07611721128006</c:v>
                </c:pt>
                <c:pt idx="57">
                  <c:v>388.29276561669303</c:v>
                </c:pt>
                <c:pt idx="58">
                  <c:v>389.49969114178606</c:v>
                </c:pt>
                <c:pt idx="59">
                  <c:v>390.6970737027093</c:v>
                </c:pt>
                <c:pt idx="60">
                  <c:v>391.88508799972345</c:v>
                </c:pt>
                <c:pt idx="61">
                  <c:v>393.06390372213485</c:v>
                </c:pt>
                <c:pt idx="62">
                  <c:v>394.23368574310626</c:v>
                </c:pt>
                <c:pt idx="63">
                  <c:v>395.3945943049531</c:v>
                </c:pt>
                <c:pt idx="64">
                  <c:v>396.54678519547286</c:v>
                </c:pt>
                <c:pt idx="65">
                  <c:v>397.6904099158388</c:v>
                </c:pt>
                <c:pt idx="66">
                  <c:v>398.82561584053286</c:v>
                </c:pt>
                <c:pt idx="67">
                  <c:v>399.9525463697736</c:v>
                </c:pt>
                <c:pt idx="68">
                  <c:v>401.07134107487025</c:v>
                </c:pt>
                <c:pt idx="69">
                  <c:v>402.1821358368814</c:v>
                </c:pt>
                <c:pt idx="70">
                  <c:v>403.28506297897013</c:v>
                </c:pt>
                <c:pt idx="71">
                  <c:v>404.380251392772</c:v>
                </c:pt>
                <c:pt idx="72">
                  <c:v>405.4678266591306</c:v>
                </c:pt>
                <c:pt idx="73">
                  <c:v>406.54791116347883</c:v>
                </c:pt>
                <c:pt idx="74">
                  <c:v>407.62062420616655</c:v>
                </c:pt>
                <c:pt idx="75">
                  <c:v>408.6860821079904</c:v>
                </c:pt>
                <c:pt idx="76">
                  <c:v>409.74439831118406</c:v>
                </c:pt>
                <c:pt idx="77">
                  <c:v>410.795683476097</c:v>
                </c:pt>
                <c:pt idx="78">
                  <c:v>411.84004557378967</c:v>
                </c:pt>
                <c:pt idx="79">
                  <c:v>412.8775899747482</c:v>
                </c:pt>
                <c:pt idx="80">
                  <c:v>413.90841953391225</c:v>
                </c:pt>
                <c:pt idx="81">
                  <c:v>414.9326346722013</c:v>
                </c:pt>
                <c:pt idx="82">
                  <c:v>415.9503334547265</c:v>
                </c:pt>
                <c:pt idx="83">
                  <c:v>416.9616116658216</c:v>
                </c:pt>
                <c:pt idx="84">
                  <c:v>417.9665628810736</c:v>
                </c:pt>
                <c:pt idx="85">
                  <c:v>418.96527853648877</c:v>
                </c:pt>
                <c:pt idx="86">
                  <c:v>419.9578479949296</c:v>
                </c:pt>
                <c:pt idx="87">
                  <c:v>420.9443586099481</c:v>
                </c:pt>
                <c:pt idx="88">
                  <c:v>421.9248957871534</c:v>
                </c:pt>
                <c:pt idx="89">
                  <c:v>422.89954304321213</c:v>
                </c:pt>
                <c:pt idx="90">
                  <c:v>423.8683820625961</c:v>
                </c:pt>
                <c:pt idx="91">
                  <c:v>424.83149252333124</c:v>
                </c:pt>
                <c:pt idx="92">
                  <c:v>425.7889533194741</c:v>
                </c:pt>
                <c:pt idx="93">
                  <c:v>426.74084019491875</c:v>
                </c:pt>
                <c:pt idx="94">
                  <c:v>427.6872283370677</c:v>
                </c:pt>
                <c:pt idx="95">
                  <c:v>428.62819102257043</c:v>
                </c:pt>
                <c:pt idx="96">
                  <c:v>429.5638000193752</c:v>
                </c:pt>
                <c:pt idx="97">
                  <c:v>430.49412560476213</c:v>
                </c:pt>
                <c:pt idx="98">
                  <c:v>431.41923660747085</c:v>
                </c:pt>
                <c:pt idx="99">
                  <c:v>432.3392004483308</c:v>
                </c:pt>
                <c:pt idx="100">
                  <c:v>433.2540831794442</c:v>
                </c:pt>
              </c:numCache>
            </c:numRef>
          </c:yVal>
          <c:smooth val="0"/>
        </c:ser>
        <c:ser>
          <c:idx val="9"/>
          <c:order val="9"/>
          <c:tx>
            <c:v>isoentropic espansion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data'!$R$8:$R$108</c:f>
              <c:numCache>
                <c:ptCount val="101"/>
                <c:pt idx="0">
                  <c:v>7.483906877590238</c:v>
                </c:pt>
                <c:pt idx="1">
                  <c:v>7.483906877590238</c:v>
                </c:pt>
                <c:pt idx="2">
                  <c:v>7.483906877590238</c:v>
                </c:pt>
                <c:pt idx="3">
                  <c:v>7.483906877590238</c:v>
                </c:pt>
                <c:pt idx="4">
                  <c:v>7.483906877590238</c:v>
                </c:pt>
                <c:pt idx="5">
                  <c:v>7.483906877590238</c:v>
                </c:pt>
                <c:pt idx="6">
                  <c:v>7.483906877590238</c:v>
                </c:pt>
                <c:pt idx="7">
                  <c:v>7.483906877590238</c:v>
                </c:pt>
                <c:pt idx="8">
                  <c:v>7.483906877590238</c:v>
                </c:pt>
                <c:pt idx="9">
                  <c:v>7.483906877590238</c:v>
                </c:pt>
                <c:pt idx="10">
                  <c:v>7.483906877590238</c:v>
                </c:pt>
                <c:pt idx="11">
                  <c:v>7.483906877590238</c:v>
                </c:pt>
                <c:pt idx="12">
                  <c:v>7.483906877590238</c:v>
                </c:pt>
                <c:pt idx="13">
                  <c:v>7.483906877590238</c:v>
                </c:pt>
                <c:pt idx="14">
                  <c:v>7.483906877590238</c:v>
                </c:pt>
                <c:pt idx="15">
                  <c:v>7.483906877590238</c:v>
                </c:pt>
                <c:pt idx="16">
                  <c:v>7.483906877590238</c:v>
                </c:pt>
                <c:pt idx="17">
                  <c:v>7.483906877590238</c:v>
                </c:pt>
                <c:pt idx="18">
                  <c:v>7.483906877590238</c:v>
                </c:pt>
                <c:pt idx="19">
                  <c:v>7.483906877590238</c:v>
                </c:pt>
                <c:pt idx="20">
                  <c:v>7.483906877590238</c:v>
                </c:pt>
                <c:pt idx="21">
                  <c:v>7.483906877590238</c:v>
                </c:pt>
                <c:pt idx="22">
                  <c:v>7.483906877590238</c:v>
                </c:pt>
                <c:pt idx="23">
                  <c:v>7.483906877590238</c:v>
                </c:pt>
                <c:pt idx="24">
                  <c:v>7.483906877590238</c:v>
                </c:pt>
                <c:pt idx="25">
                  <c:v>7.483906877590238</c:v>
                </c:pt>
                <c:pt idx="26">
                  <c:v>7.483906877590238</c:v>
                </c:pt>
                <c:pt idx="27">
                  <c:v>7.483906877590238</c:v>
                </c:pt>
                <c:pt idx="28">
                  <c:v>7.483906877590238</c:v>
                </c:pt>
                <c:pt idx="29">
                  <c:v>7.483906877590238</c:v>
                </c:pt>
                <c:pt idx="30">
                  <c:v>7.483906877590238</c:v>
                </c:pt>
                <c:pt idx="31">
                  <c:v>7.483906877590238</c:v>
                </c:pt>
                <c:pt idx="32">
                  <c:v>7.483906877590238</c:v>
                </c:pt>
                <c:pt idx="33">
                  <c:v>7.483906877590238</c:v>
                </c:pt>
                <c:pt idx="34">
                  <c:v>7.483906877590238</c:v>
                </c:pt>
                <c:pt idx="35">
                  <c:v>7.483906877590238</c:v>
                </c:pt>
                <c:pt idx="36">
                  <c:v>7.483906877590238</c:v>
                </c:pt>
                <c:pt idx="37">
                  <c:v>7.483906877590238</c:v>
                </c:pt>
                <c:pt idx="38">
                  <c:v>7.483906877590238</c:v>
                </c:pt>
                <c:pt idx="39">
                  <c:v>7.483906877590238</c:v>
                </c:pt>
                <c:pt idx="40">
                  <c:v>7.483906877590238</c:v>
                </c:pt>
                <c:pt idx="41">
                  <c:v>7.483906877590238</c:v>
                </c:pt>
                <c:pt idx="42">
                  <c:v>7.483906877590238</c:v>
                </c:pt>
                <c:pt idx="43">
                  <c:v>7.483906877590238</c:v>
                </c:pt>
                <c:pt idx="44">
                  <c:v>7.483906877590238</c:v>
                </c:pt>
                <c:pt idx="45">
                  <c:v>7.483906877590238</c:v>
                </c:pt>
                <c:pt idx="46">
                  <c:v>7.483906877590238</c:v>
                </c:pt>
                <c:pt idx="47">
                  <c:v>7.483906877590238</c:v>
                </c:pt>
                <c:pt idx="48">
                  <c:v>7.483906877590238</c:v>
                </c:pt>
                <c:pt idx="49">
                  <c:v>7.483906877590238</c:v>
                </c:pt>
                <c:pt idx="50">
                  <c:v>7.483906877590238</c:v>
                </c:pt>
                <c:pt idx="51">
                  <c:v>7.483906877590238</c:v>
                </c:pt>
                <c:pt idx="52">
                  <c:v>7.483906877590238</c:v>
                </c:pt>
                <c:pt idx="53">
                  <c:v>7.483906877590238</c:v>
                </c:pt>
                <c:pt idx="54">
                  <c:v>7.483906877590238</c:v>
                </c:pt>
                <c:pt idx="55">
                  <c:v>7.483906877590238</c:v>
                </c:pt>
                <c:pt idx="56">
                  <c:v>7.483906877590238</c:v>
                </c:pt>
                <c:pt idx="57">
                  <c:v>7.483906877590238</c:v>
                </c:pt>
                <c:pt idx="58">
                  <c:v>7.483906877590238</c:v>
                </c:pt>
                <c:pt idx="59">
                  <c:v>7.483906877590238</c:v>
                </c:pt>
                <c:pt idx="60">
                  <c:v>7.483906877590238</c:v>
                </c:pt>
                <c:pt idx="61">
                  <c:v>7.483906877590238</c:v>
                </c:pt>
                <c:pt idx="62">
                  <c:v>7.483906877590238</c:v>
                </c:pt>
                <c:pt idx="63">
                  <c:v>7.483906877590238</c:v>
                </c:pt>
                <c:pt idx="64">
                  <c:v>7.483906877590238</c:v>
                </c:pt>
                <c:pt idx="65">
                  <c:v>7.483906877590238</c:v>
                </c:pt>
                <c:pt idx="66">
                  <c:v>7.483906877590238</c:v>
                </c:pt>
                <c:pt idx="67">
                  <c:v>7.483906877590238</c:v>
                </c:pt>
                <c:pt idx="68">
                  <c:v>7.483906877590238</c:v>
                </c:pt>
                <c:pt idx="69">
                  <c:v>7.483906877590238</c:v>
                </c:pt>
                <c:pt idx="70">
                  <c:v>7.483906877590238</c:v>
                </c:pt>
                <c:pt idx="71">
                  <c:v>7.483906877590238</c:v>
                </c:pt>
                <c:pt idx="72">
                  <c:v>7.483906877590238</c:v>
                </c:pt>
                <c:pt idx="73">
                  <c:v>7.483906877590238</c:v>
                </c:pt>
                <c:pt idx="74">
                  <c:v>7.483906877590238</c:v>
                </c:pt>
                <c:pt idx="75">
                  <c:v>7.483906877590238</c:v>
                </c:pt>
                <c:pt idx="76">
                  <c:v>7.483906877590238</c:v>
                </c:pt>
                <c:pt idx="77">
                  <c:v>7.483906877590238</c:v>
                </c:pt>
                <c:pt idx="78">
                  <c:v>7.483906877590238</c:v>
                </c:pt>
                <c:pt idx="79">
                  <c:v>7.483906877590238</c:v>
                </c:pt>
                <c:pt idx="80">
                  <c:v>7.483906877590238</c:v>
                </c:pt>
                <c:pt idx="81">
                  <c:v>7.483906877590238</c:v>
                </c:pt>
                <c:pt idx="82">
                  <c:v>7.483906877590238</c:v>
                </c:pt>
                <c:pt idx="83">
                  <c:v>7.483906877590238</c:v>
                </c:pt>
                <c:pt idx="84">
                  <c:v>7.483906877590238</c:v>
                </c:pt>
                <c:pt idx="85">
                  <c:v>7.483906877590238</c:v>
                </c:pt>
                <c:pt idx="86">
                  <c:v>7.483906877590238</c:v>
                </c:pt>
                <c:pt idx="87">
                  <c:v>7.483906877590238</c:v>
                </c:pt>
                <c:pt idx="88">
                  <c:v>7.483906877590238</c:v>
                </c:pt>
                <c:pt idx="89">
                  <c:v>7.483906877590238</c:v>
                </c:pt>
                <c:pt idx="90">
                  <c:v>7.483906877590238</c:v>
                </c:pt>
                <c:pt idx="91">
                  <c:v>7.483906877590238</c:v>
                </c:pt>
                <c:pt idx="92">
                  <c:v>7.483906877590238</c:v>
                </c:pt>
                <c:pt idx="93">
                  <c:v>7.483906877590238</c:v>
                </c:pt>
                <c:pt idx="94">
                  <c:v>7.483906877590238</c:v>
                </c:pt>
                <c:pt idx="95">
                  <c:v>7.483906877590238</c:v>
                </c:pt>
                <c:pt idx="96">
                  <c:v>7.483906877590238</c:v>
                </c:pt>
                <c:pt idx="97">
                  <c:v>7.483906877590238</c:v>
                </c:pt>
                <c:pt idx="98">
                  <c:v>7.483906877590238</c:v>
                </c:pt>
                <c:pt idx="99">
                  <c:v>7.483906877590238</c:v>
                </c:pt>
                <c:pt idx="100">
                  <c:v>7.483906877590238</c:v>
                </c:pt>
              </c:numCache>
            </c:numRef>
          </c:xVal>
          <c:yVal>
            <c:numRef>
              <c:f>'T-s diagr. data'!$S$8:$S$108</c:f>
              <c:numCache>
                <c:ptCount val="101"/>
                <c:pt idx="0">
                  <c:v>798.1500000000444</c:v>
                </c:pt>
                <c:pt idx="1">
                  <c:v>796.5867066470502</c:v>
                </c:pt>
                <c:pt idx="2">
                  <c:v>795.0141700104668</c:v>
                </c:pt>
                <c:pt idx="3">
                  <c:v>793.4322660539543</c:v>
                </c:pt>
                <c:pt idx="4">
                  <c:v>791.840868133515</c:v>
                </c:pt>
                <c:pt idx="5">
                  <c:v>790.2398469223789</c:v>
                </c:pt>
                <c:pt idx="6">
                  <c:v>788.6290703331251</c:v>
                </c:pt>
                <c:pt idx="7">
                  <c:v>787.0084034369062</c:v>
                </c:pt>
                <c:pt idx="8">
                  <c:v>785.3777083796764</c:v>
                </c:pt>
                <c:pt idx="9">
                  <c:v>783.7368442952568</c:v>
                </c:pt>
                <c:pt idx="10">
                  <c:v>782.0856672151057</c:v>
                </c:pt>
                <c:pt idx="11">
                  <c:v>780.4240299746443</c:v>
                </c:pt>
                <c:pt idx="12">
                  <c:v>778.7517821159603</c:v>
                </c:pt>
                <c:pt idx="13">
                  <c:v>777.0687697867506</c:v>
                </c:pt>
                <c:pt idx="14">
                  <c:v>775.3748356352927</c:v>
                </c:pt>
                <c:pt idx="15">
                  <c:v>773.6698187012585</c:v>
                </c:pt>
                <c:pt idx="16">
                  <c:v>771.9535543022067</c:v>
                </c:pt>
                <c:pt idx="17">
                  <c:v>770.2258739154893</c:v>
                </c:pt>
                <c:pt idx="18">
                  <c:v>768.4866050553901</c:v>
                </c:pt>
                <c:pt idx="19">
                  <c:v>766.7355711452296</c:v>
                </c:pt>
                <c:pt idx="20">
                  <c:v>764.9725913842169</c:v>
                </c:pt>
                <c:pt idx="21">
                  <c:v>763.1974806087544</c:v>
                </c:pt>
                <c:pt idx="22">
                  <c:v>761.4100491479184</c:v>
                </c:pt>
                <c:pt idx="23">
                  <c:v>759.6101026728431</c:v>
                </c:pt>
                <c:pt idx="24">
                  <c:v>757.7974420396582</c:v>
                </c:pt>
                <c:pt idx="25">
                  <c:v>755.9718631256659</c:v>
                </c:pt>
                <c:pt idx="26">
                  <c:v>754.1331566583978</c:v>
                </c:pt>
                <c:pt idx="27">
                  <c:v>752.2811080371557</c:v>
                </c:pt>
                <c:pt idx="28">
                  <c:v>750.4154971466721</c:v>
                </c:pt>
                <c:pt idx="29">
                  <c:v>748.5360981624168</c:v>
                </c:pt>
                <c:pt idx="30">
                  <c:v>746.64267934713</c:v>
                </c:pt>
                <c:pt idx="31">
                  <c:v>744.735002838074</c:v>
                </c:pt>
                <c:pt idx="32">
                  <c:v>742.8128244245075</c:v>
                </c:pt>
                <c:pt idx="33">
                  <c:v>740.8758933148097</c:v>
                </c:pt>
                <c:pt idx="34">
                  <c:v>738.9239518926775</c:v>
                </c:pt>
                <c:pt idx="35">
                  <c:v>736.9567354617891</c:v>
                </c:pt>
                <c:pt idx="36">
                  <c:v>734.9739719782041</c:v>
                </c:pt>
                <c:pt idx="37">
                  <c:v>732.9753817698688</c:v>
                </c:pt>
                <c:pt idx="38">
                  <c:v>730.9606772423771</c:v>
                </c:pt>
                <c:pt idx="39">
                  <c:v>728.9295625702405</c:v>
                </c:pt>
                <c:pt idx="40">
                  <c:v>726.8817333727266</c:v>
                </c:pt>
                <c:pt idx="41">
                  <c:v>724.8168763733693</c:v>
                </c:pt>
                <c:pt idx="42">
                  <c:v>722.7346690421368</c:v>
                </c:pt>
                <c:pt idx="43">
                  <c:v>720.6347792191378</c:v>
                </c:pt>
                <c:pt idx="44">
                  <c:v>718.5168647187598</c:v>
                </c:pt>
                <c:pt idx="45">
                  <c:v>716.3805729129409</c:v>
                </c:pt>
                <c:pt idx="46">
                  <c:v>714.2255402922666</c:v>
                </c:pt>
                <c:pt idx="47">
                  <c:v>712.0513920034051</c:v>
                </c:pt>
                <c:pt idx="48">
                  <c:v>709.8577413613729</c:v>
                </c:pt>
                <c:pt idx="49">
                  <c:v>707.6441893348889</c:v>
                </c:pt>
                <c:pt idx="50">
                  <c:v>705.4103240030588</c:v>
                </c:pt>
                <c:pt idx="51">
                  <c:v>703.1557199813795</c:v>
                </c:pt>
                <c:pt idx="52">
                  <c:v>700.8799378149813</c:v>
                </c:pt>
                <c:pt idx="53">
                  <c:v>698.5825233367882</c:v>
                </c:pt>
                <c:pt idx="54">
                  <c:v>696.2630069881131</c:v>
                </c:pt>
                <c:pt idx="55">
                  <c:v>693.9209030990133</c:v>
                </c:pt>
                <c:pt idx="56">
                  <c:v>691.5557091254431</c:v>
                </c:pt>
                <c:pt idx="57">
                  <c:v>689.1669048400599</c:v>
                </c:pt>
                <c:pt idx="58">
                  <c:v>686.7539514732048</c:v>
                </c:pt>
                <c:pt idx="59">
                  <c:v>684.3162908002944</c:v>
                </c:pt>
                <c:pt idx="60">
                  <c:v>681.8533441715393</c:v>
                </c:pt>
                <c:pt idx="61">
                  <c:v>679.3645114794772</c:v>
                </c:pt>
                <c:pt idx="62">
                  <c:v>676.8491700594637</c:v>
                </c:pt>
                <c:pt idx="63">
                  <c:v>674.3066735177571</c:v>
                </c:pt>
                <c:pt idx="64">
                  <c:v>671.7363504813192</c:v>
                </c:pt>
                <c:pt idx="65">
                  <c:v>669.1375032629509</c:v>
                </c:pt>
                <c:pt idx="66">
                  <c:v>666.5094064346698</c:v>
                </c:pt>
                <c:pt idx="67">
                  <c:v>663.8513053016002</c:v>
                </c:pt>
                <c:pt idx="68">
                  <c:v>661.1624142678344</c:v>
                </c:pt>
                <c:pt idx="69">
                  <c:v>658.4419150848685</c:v>
                </c:pt>
                <c:pt idx="70">
                  <c:v>655.6889549722114</c:v>
                </c:pt>
                <c:pt idx="71">
                  <c:v>652.9026445987091</c:v>
                </c:pt>
                <c:pt idx="72">
                  <c:v>650.0820559118604</c:v>
                </c:pt>
                <c:pt idx="73">
                  <c:v>647.226219801034</c:v>
                </c:pt>
                <c:pt idx="74">
                  <c:v>644.3341235789449</c:v>
                </c:pt>
                <c:pt idx="75">
                  <c:v>641.4047077639348</c:v>
                </c:pt>
                <c:pt idx="76">
                  <c:v>638.4368651437128</c:v>
                </c:pt>
                <c:pt idx="77">
                  <c:v>635.4294345988011</c:v>
                </c:pt>
                <c:pt idx="78">
                  <c:v>632.3811996615118</c:v>
                </c:pt>
                <c:pt idx="79">
                  <c:v>629.2908842832504</c:v>
                </c:pt>
                <c:pt idx="80">
                  <c:v>626.1571487495183</c:v>
                </c:pt>
                <c:pt idx="81">
                  <c:v>622.9785852999584</c:v>
                </c:pt>
                <c:pt idx="82">
                  <c:v>619.7537133918594</c:v>
                </c:pt>
                <c:pt idx="83">
                  <c:v>616.4809743374142</c:v>
                </c:pt>
                <c:pt idx="84">
                  <c:v>613.1587256148387</c:v>
                </c:pt>
                <c:pt idx="85">
                  <c:v>609.7852345894573</c:v>
                </c:pt>
                <c:pt idx="86">
                  <c:v>606.358671626012</c:v>
                </c:pt>
                <c:pt idx="87">
                  <c:v>602.877102519145</c:v>
                </c:pt>
                <c:pt idx="88">
                  <c:v>599.33848015848</c:v>
                </c:pt>
                <c:pt idx="89">
                  <c:v>595.7406353324606</c:v>
                </c:pt>
                <c:pt idx="90">
                  <c:v>592.0812665606381</c:v>
                </c:pt>
                <c:pt idx="91">
                  <c:v>588.3579288271332</c:v>
                </c:pt>
                <c:pt idx="92">
                  <c:v>584.5680210679612</c:v>
                </c:pt>
                <c:pt idx="93">
                  <c:v>580.7087722411328</c:v>
                </c:pt>
                <c:pt idx="94">
                  <c:v>576.7772257801241</c:v>
                </c:pt>
                <c:pt idx="95">
                  <c:v>572.7702221975604</c:v>
                </c:pt>
                <c:pt idx="96">
                  <c:v>568.6843795653571</c:v>
                </c:pt>
                <c:pt idx="97">
                  <c:v>564.5160715487401</c:v>
                </c:pt>
                <c:pt idx="98">
                  <c:v>560.2614026123152</c:v>
                </c:pt>
                <c:pt idx="99">
                  <c:v>555.9161799444338</c:v>
                </c:pt>
                <c:pt idx="100">
                  <c:v>551.4758815579864</c:v>
                </c:pt>
              </c:numCache>
            </c:numRef>
          </c:yVal>
          <c:smooth val="0"/>
        </c:ser>
        <c:ser>
          <c:idx val="10"/>
          <c:order val="10"/>
          <c:tx>
            <c:v>real adiabatic compression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data'!$U$8:$U$108</c:f>
              <c:numCache>
                <c:ptCount val="101"/>
                <c:pt idx="0">
                  <c:v>6.8418107413291445</c:v>
                </c:pt>
                <c:pt idx="1">
                  <c:v>6.8434326366900855</c:v>
                </c:pt>
                <c:pt idx="2">
                  <c:v>6.8450545320510265</c:v>
                </c:pt>
                <c:pt idx="3">
                  <c:v>6.846676427411968</c:v>
                </c:pt>
                <c:pt idx="4">
                  <c:v>6.848298322772909</c:v>
                </c:pt>
                <c:pt idx="5">
                  <c:v>6.84992021813385</c:v>
                </c:pt>
                <c:pt idx="6">
                  <c:v>6.851542113494791</c:v>
                </c:pt>
                <c:pt idx="7">
                  <c:v>6.853164008855732</c:v>
                </c:pt>
                <c:pt idx="8">
                  <c:v>6.854785904216673</c:v>
                </c:pt>
                <c:pt idx="9">
                  <c:v>6.856407799577614</c:v>
                </c:pt>
                <c:pt idx="10">
                  <c:v>6.858029694938555</c:v>
                </c:pt>
                <c:pt idx="11">
                  <c:v>6.859651590299496</c:v>
                </c:pt>
                <c:pt idx="12">
                  <c:v>6.861273485660437</c:v>
                </c:pt>
                <c:pt idx="13">
                  <c:v>6.862895381021378</c:v>
                </c:pt>
                <c:pt idx="14">
                  <c:v>6.864517276382319</c:v>
                </c:pt>
                <c:pt idx="15">
                  <c:v>6.86613917174326</c:v>
                </c:pt>
                <c:pt idx="16">
                  <c:v>6.867761067104201</c:v>
                </c:pt>
                <c:pt idx="17">
                  <c:v>6.869382962465142</c:v>
                </c:pt>
                <c:pt idx="18">
                  <c:v>6.871004857826083</c:v>
                </c:pt>
                <c:pt idx="19">
                  <c:v>6.872626753187024</c:v>
                </c:pt>
                <c:pt idx="20">
                  <c:v>6.874248648547965</c:v>
                </c:pt>
                <c:pt idx="21">
                  <c:v>6.875870543908906</c:v>
                </c:pt>
                <c:pt idx="22">
                  <c:v>6.877492439269847</c:v>
                </c:pt>
                <c:pt idx="23">
                  <c:v>6.879114334630788</c:v>
                </c:pt>
                <c:pt idx="24">
                  <c:v>6.880736229991729</c:v>
                </c:pt>
                <c:pt idx="25">
                  <c:v>6.88235812535267</c:v>
                </c:pt>
                <c:pt idx="26">
                  <c:v>6.8839800207136115</c:v>
                </c:pt>
                <c:pt idx="27">
                  <c:v>6.8856019160745525</c:v>
                </c:pt>
                <c:pt idx="28">
                  <c:v>6.887223811435494</c:v>
                </c:pt>
                <c:pt idx="29">
                  <c:v>6.888845706796435</c:v>
                </c:pt>
                <c:pt idx="30">
                  <c:v>6.890467602157376</c:v>
                </c:pt>
                <c:pt idx="31">
                  <c:v>6.892089497518317</c:v>
                </c:pt>
                <c:pt idx="32">
                  <c:v>6.893711392879258</c:v>
                </c:pt>
                <c:pt idx="33">
                  <c:v>6.895333288240199</c:v>
                </c:pt>
                <c:pt idx="34">
                  <c:v>6.89695518360114</c:v>
                </c:pt>
                <c:pt idx="35">
                  <c:v>6.898577078962081</c:v>
                </c:pt>
                <c:pt idx="36">
                  <c:v>6.900198974323022</c:v>
                </c:pt>
                <c:pt idx="37">
                  <c:v>6.901820869683963</c:v>
                </c:pt>
                <c:pt idx="38">
                  <c:v>6.903442765044904</c:v>
                </c:pt>
                <c:pt idx="39">
                  <c:v>6.905064660405845</c:v>
                </c:pt>
                <c:pt idx="40">
                  <c:v>6.906686555766786</c:v>
                </c:pt>
                <c:pt idx="41">
                  <c:v>6.908308451127727</c:v>
                </c:pt>
                <c:pt idx="42">
                  <c:v>6.909930346488668</c:v>
                </c:pt>
                <c:pt idx="43">
                  <c:v>6.911552241849609</c:v>
                </c:pt>
                <c:pt idx="44">
                  <c:v>6.91317413721055</c:v>
                </c:pt>
                <c:pt idx="45">
                  <c:v>6.914796032571491</c:v>
                </c:pt>
                <c:pt idx="46">
                  <c:v>6.916417927932432</c:v>
                </c:pt>
                <c:pt idx="47">
                  <c:v>6.918039823293373</c:v>
                </c:pt>
                <c:pt idx="48">
                  <c:v>6.919661718654314</c:v>
                </c:pt>
                <c:pt idx="49">
                  <c:v>6.921283614015255</c:v>
                </c:pt>
                <c:pt idx="50">
                  <c:v>6.922905509376196</c:v>
                </c:pt>
                <c:pt idx="51">
                  <c:v>6.9245274047371375</c:v>
                </c:pt>
                <c:pt idx="52">
                  <c:v>6.9261493000980785</c:v>
                </c:pt>
                <c:pt idx="53">
                  <c:v>6.9277711954590195</c:v>
                </c:pt>
                <c:pt idx="54">
                  <c:v>6.929393090819961</c:v>
                </c:pt>
                <c:pt idx="55">
                  <c:v>6.931014986180902</c:v>
                </c:pt>
                <c:pt idx="56">
                  <c:v>6.932636881541843</c:v>
                </c:pt>
                <c:pt idx="57">
                  <c:v>6.934258776902784</c:v>
                </c:pt>
                <c:pt idx="58">
                  <c:v>6.935880672263725</c:v>
                </c:pt>
                <c:pt idx="59">
                  <c:v>6.937502567624666</c:v>
                </c:pt>
                <c:pt idx="60">
                  <c:v>6.939124462985607</c:v>
                </c:pt>
                <c:pt idx="61">
                  <c:v>6.940746358346548</c:v>
                </c:pt>
                <c:pt idx="62">
                  <c:v>6.942368253707489</c:v>
                </c:pt>
                <c:pt idx="63">
                  <c:v>6.94399014906843</c:v>
                </c:pt>
                <c:pt idx="64">
                  <c:v>6.945612044429371</c:v>
                </c:pt>
                <c:pt idx="65">
                  <c:v>6.947233939790312</c:v>
                </c:pt>
                <c:pt idx="66">
                  <c:v>6.948855835151253</c:v>
                </c:pt>
                <c:pt idx="67">
                  <c:v>6.950477730512194</c:v>
                </c:pt>
                <c:pt idx="68">
                  <c:v>6.952099625873135</c:v>
                </c:pt>
                <c:pt idx="69">
                  <c:v>6.953721521234076</c:v>
                </c:pt>
                <c:pt idx="70">
                  <c:v>6.955343416595017</c:v>
                </c:pt>
                <c:pt idx="71">
                  <c:v>6.956965311955958</c:v>
                </c:pt>
                <c:pt idx="72">
                  <c:v>6.958587207316899</c:v>
                </c:pt>
                <c:pt idx="73">
                  <c:v>6.96020910267784</c:v>
                </c:pt>
                <c:pt idx="74">
                  <c:v>6.961830998038781</c:v>
                </c:pt>
                <c:pt idx="75">
                  <c:v>6.963452893399722</c:v>
                </c:pt>
                <c:pt idx="76">
                  <c:v>6.965074788760663</c:v>
                </c:pt>
                <c:pt idx="77">
                  <c:v>6.9666966841216045</c:v>
                </c:pt>
                <c:pt idx="78">
                  <c:v>6.9683185794825455</c:v>
                </c:pt>
                <c:pt idx="79">
                  <c:v>6.9699404748434866</c:v>
                </c:pt>
                <c:pt idx="80">
                  <c:v>6.971562370204428</c:v>
                </c:pt>
                <c:pt idx="81">
                  <c:v>6.973184265565369</c:v>
                </c:pt>
                <c:pt idx="82">
                  <c:v>6.97480616092631</c:v>
                </c:pt>
                <c:pt idx="83">
                  <c:v>6.976428056287251</c:v>
                </c:pt>
                <c:pt idx="84">
                  <c:v>6.978049951648192</c:v>
                </c:pt>
                <c:pt idx="85">
                  <c:v>6.979671847009133</c:v>
                </c:pt>
                <c:pt idx="86">
                  <c:v>6.981293742370074</c:v>
                </c:pt>
                <c:pt idx="87">
                  <c:v>6.982915637731015</c:v>
                </c:pt>
                <c:pt idx="88">
                  <c:v>6.984537533091956</c:v>
                </c:pt>
                <c:pt idx="89">
                  <c:v>6.986159428452897</c:v>
                </c:pt>
                <c:pt idx="90">
                  <c:v>6.987781323813838</c:v>
                </c:pt>
                <c:pt idx="91">
                  <c:v>6.989403219174779</c:v>
                </c:pt>
                <c:pt idx="92">
                  <c:v>6.99102511453572</c:v>
                </c:pt>
                <c:pt idx="93">
                  <c:v>6.992647009896661</c:v>
                </c:pt>
                <c:pt idx="94">
                  <c:v>6.994268905257602</c:v>
                </c:pt>
                <c:pt idx="95">
                  <c:v>6.995890800618543</c:v>
                </c:pt>
                <c:pt idx="96">
                  <c:v>6.997512695979484</c:v>
                </c:pt>
                <c:pt idx="97">
                  <c:v>6.999134591340425</c:v>
                </c:pt>
                <c:pt idx="98">
                  <c:v>7.000756486701366</c:v>
                </c:pt>
                <c:pt idx="99">
                  <c:v>7.002378382062307</c:v>
                </c:pt>
                <c:pt idx="100">
                  <c:v>7.004000277423248</c:v>
                </c:pt>
              </c:numCache>
            </c:numRef>
          </c:xVal>
          <c:yVal>
            <c:numRef>
              <c:f>'T-s diagr. data'!$V$8:$V$108</c:f>
              <c:numCache>
                <c:ptCount val="101"/>
                <c:pt idx="0">
                  <c:v>293.15</c:v>
                </c:pt>
                <c:pt idx="1">
                  <c:v>295.29477838441744</c:v>
                </c:pt>
                <c:pt idx="2">
                  <c:v>297.4395567688349</c:v>
                </c:pt>
                <c:pt idx="3">
                  <c:v>299.58433515325237</c:v>
                </c:pt>
                <c:pt idx="4">
                  <c:v>301.72911353766983</c:v>
                </c:pt>
                <c:pt idx="5">
                  <c:v>303.8738919220873</c:v>
                </c:pt>
                <c:pt idx="6">
                  <c:v>306.01867030650476</c:v>
                </c:pt>
                <c:pt idx="7">
                  <c:v>308.1634486909222</c:v>
                </c:pt>
                <c:pt idx="8">
                  <c:v>310.3082270753397</c:v>
                </c:pt>
                <c:pt idx="9">
                  <c:v>312.45300545975715</c:v>
                </c:pt>
                <c:pt idx="10">
                  <c:v>314.5977838441746</c:v>
                </c:pt>
                <c:pt idx="11">
                  <c:v>316.7425622285921</c:v>
                </c:pt>
                <c:pt idx="12">
                  <c:v>318.88734061300954</c:v>
                </c:pt>
                <c:pt idx="13">
                  <c:v>321.032118997427</c:v>
                </c:pt>
                <c:pt idx="14">
                  <c:v>323.17689738184447</c:v>
                </c:pt>
                <c:pt idx="15">
                  <c:v>325.32167576626193</c:v>
                </c:pt>
                <c:pt idx="16">
                  <c:v>327.4664541506794</c:v>
                </c:pt>
                <c:pt idx="17">
                  <c:v>329.61123253509686</c:v>
                </c:pt>
                <c:pt idx="18">
                  <c:v>331.7560109195143</c:v>
                </c:pt>
                <c:pt idx="19">
                  <c:v>333.9007893039318</c:v>
                </c:pt>
                <c:pt idx="20">
                  <c:v>336.04556768834925</c:v>
                </c:pt>
                <c:pt idx="21">
                  <c:v>338.1903460727667</c:v>
                </c:pt>
                <c:pt idx="22">
                  <c:v>340.3351244571842</c:v>
                </c:pt>
                <c:pt idx="23">
                  <c:v>342.47990284160164</c:v>
                </c:pt>
                <c:pt idx="24">
                  <c:v>344.6246812260191</c:v>
                </c:pt>
                <c:pt idx="25">
                  <c:v>346.76945961043657</c:v>
                </c:pt>
                <c:pt idx="26">
                  <c:v>348.91423799485403</c:v>
                </c:pt>
                <c:pt idx="27">
                  <c:v>351.0590163792715</c:v>
                </c:pt>
                <c:pt idx="28">
                  <c:v>353.20379476368896</c:v>
                </c:pt>
                <c:pt idx="29">
                  <c:v>355.3485731481064</c:v>
                </c:pt>
                <c:pt idx="30">
                  <c:v>357.4933515325239</c:v>
                </c:pt>
                <c:pt idx="31">
                  <c:v>359.63812991694135</c:v>
                </c:pt>
                <c:pt idx="32">
                  <c:v>361.7829083013588</c:v>
                </c:pt>
                <c:pt idx="33">
                  <c:v>363.9276866857763</c:v>
                </c:pt>
                <c:pt idx="34">
                  <c:v>366.07246507019374</c:v>
                </c:pt>
                <c:pt idx="35">
                  <c:v>368.2172434546112</c:v>
                </c:pt>
                <c:pt idx="36">
                  <c:v>370.36202183902867</c:v>
                </c:pt>
                <c:pt idx="37">
                  <c:v>372.50680022344613</c:v>
                </c:pt>
                <c:pt idx="38">
                  <c:v>374.6515786078636</c:v>
                </c:pt>
                <c:pt idx="39">
                  <c:v>376.79635699228106</c:v>
                </c:pt>
                <c:pt idx="40">
                  <c:v>378.9411353766985</c:v>
                </c:pt>
                <c:pt idx="41">
                  <c:v>381.085913761116</c:v>
                </c:pt>
                <c:pt idx="42">
                  <c:v>383.23069214553345</c:v>
                </c:pt>
                <c:pt idx="43">
                  <c:v>385.3754705299509</c:v>
                </c:pt>
                <c:pt idx="44">
                  <c:v>387.5202489143684</c:v>
                </c:pt>
                <c:pt idx="45">
                  <c:v>389.66502729878584</c:v>
                </c:pt>
                <c:pt idx="46">
                  <c:v>391.8098056832033</c:v>
                </c:pt>
                <c:pt idx="47">
                  <c:v>393.9545840676208</c:v>
                </c:pt>
                <c:pt idx="48">
                  <c:v>396.09936245203824</c:v>
                </c:pt>
                <c:pt idx="49">
                  <c:v>398.2441408364557</c:v>
                </c:pt>
                <c:pt idx="50">
                  <c:v>400.38891922087316</c:v>
                </c:pt>
                <c:pt idx="51">
                  <c:v>402.5336976052906</c:v>
                </c:pt>
                <c:pt idx="52">
                  <c:v>404.6784759897081</c:v>
                </c:pt>
                <c:pt idx="53">
                  <c:v>406.82325437412555</c:v>
                </c:pt>
                <c:pt idx="54">
                  <c:v>408.968032758543</c:v>
                </c:pt>
                <c:pt idx="55">
                  <c:v>411.1128111429605</c:v>
                </c:pt>
                <c:pt idx="56">
                  <c:v>413.25758952737795</c:v>
                </c:pt>
                <c:pt idx="57">
                  <c:v>415.4023679117954</c:v>
                </c:pt>
                <c:pt idx="58">
                  <c:v>417.5471462962129</c:v>
                </c:pt>
                <c:pt idx="59">
                  <c:v>419.69192468063034</c:v>
                </c:pt>
                <c:pt idx="60">
                  <c:v>421.8367030650478</c:v>
                </c:pt>
                <c:pt idx="61">
                  <c:v>423.98148144946526</c:v>
                </c:pt>
                <c:pt idx="62">
                  <c:v>426.1262598338827</c:v>
                </c:pt>
                <c:pt idx="63">
                  <c:v>428.2710382183002</c:v>
                </c:pt>
                <c:pt idx="64">
                  <c:v>430.41581660271765</c:v>
                </c:pt>
                <c:pt idx="65">
                  <c:v>432.5605949871351</c:v>
                </c:pt>
                <c:pt idx="66">
                  <c:v>434.7053733715526</c:v>
                </c:pt>
                <c:pt idx="67">
                  <c:v>436.85015175597005</c:v>
                </c:pt>
                <c:pt idx="68">
                  <c:v>438.9949301403875</c:v>
                </c:pt>
                <c:pt idx="69">
                  <c:v>441.139708524805</c:v>
                </c:pt>
                <c:pt idx="70">
                  <c:v>443.28448690922244</c:v>
                </c:pt>
                <c:pt idx="71">
                  <c:v>445.4292652936399</c:v>
                </c:pt>
                <c:pt idx="72">
                  <c:v>447.57404367805736</c:v>
                </c:pt>
                <c:pt idx="73">
                  <c:v>449.7188220624748</c:v>
                </c:pt>
                <c:pt idx="74">
                  <c:v>451.8636004468923</c:v>
                </c:pt>
                <c:pt idx="75">
                  <c:v>454.00837883130976</c:v>
                </c:pt>
                <c:pt idx="76">
                  <c:v>456.1531572157272</c:v>
                </c:pt>
                <c:pt idx="77">
                  <c:v>458.2979356001447</c:v>
                </c:pt>
                <c:pt idx="78">
                  <c:v>460.44271398456215</c:v>
                </c:pt>
                <c:pt idx="79">
                  <c:v>462.5874923689796</c:v>
                </c:pt>
                <c:pt idx="80">
                  <c:v>464.7322707533971</c:v>
                </c:pt>
                <c:pt idx="81">
                  <c:v>466.87704913781454</c:v>
                </c:pt>
                <c:pt idx="82">
                  <c:v>469.021827522232</c:v>
                </c:pt>
                <c:pt idx="83">
                  <c:v>471.16660590664947</c:v>
                </c:pt>
                <c:pt idx="84">
                  <c:v>473.31138429106693</c:v>
                </c:pt>
                <c:pt idx="85">
                  <c:v>475.4561626754844</c:v>
                </c:pt>
                <c:pt idx="86">
                  <c:v>477.60094105990186</c:v>
                </c:pt>
                <c:pt idx="87">
                  <c:v>479.7457194443193</c:v>
                </c:pt>
                <c:pt idx="88">
                  <c:v>481.8904978287368</c:v>
                </c:pt>
                <c:pt idx="89">
                  <c:v>484.03527621315425</c:v>
                </c:pt>
                <c:pt idx="90">
                  <c:v>486.1800545975717</c:v>
                </c:pt>
                <c:pt idx="91">
                  <c:v>488.3248329819892</c:v>
                </c:pt>
                <c:pt idx="92">
                  <c:v>490.46961136640664</c:v>
                </c:pt>
                <c:pt idx="93">
                  <c:v>492.6143897508241</c:v>
                </c:pt>
                <c:pt idx="94">
                  <c:v>494.75916813524157</c:v>
                </c:pt>
                <c:pt idx="95">
                  <c:v>496.90394651965903</c:v>
                </c:pt>
                <c:pt idx="96">
                  <c:v>499.0487249040765</c:v>
                </c:pt>
                <c:pt idx="97">
                  <c:v>501.19350328849396</c:v>
                </c:pt>
                <c:pt idx="98">
                  <c:v>503.3382816729114</c:v>
                </c:pt>
                <c:pt idx="99">
                  <c:v>505.4830600573289</c:v>
                </c:pt>
                <c:pt idx="100">
                  <c:v>507.62783844174635</c:v>
                </c:pt>
              </c:numCache>
            </c:numRef>
          </c:yVal>
          <c:smooth val="0"/>
        </c:ser>
        <c:ser>
          <c:idx val="11"/>
          <c:order val="11"/>
          <c:tx>
            <c:v>real adiabatic espansion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data'!$Z$8:$Z$108</c:f>
              <c:numCache>
                <c:ptCount val="101"/>
                <c:pt idx="0">
                  <c:v>7.483906877590238</c:v>
                </c:pt>
                <c:pt idx="1">
                  <c:v>7.484599862737692</c:v>
                </c:pt>
                <c:pt idx="2">
                  <c:v>7.485292847885146</c:v>
                </c:pt>
                <c:pt idx="3">
                  <c:v>7.485985833032601</c:v>
                </c:pt>
                <c:pt idx="4">
                  <c:v>7.486678818180055</c:v>
                </c:pt>
                <c:pt idx="5">
                  <c:v>7.487371803327509</c:v>
                </c:pt>
                <c:pt idx="6">
                  <c:v>7.488064788474963</c:v>
                </c:pt>
                <c:pt idx="7">
                  <c:v>7.488757773622417</c:v>
                </c:pt>
                <c:pt idx="8">
                  <c:v>7.4894507587698715</c:v>
                </c:pt>
                <c:pt idx="9">
                  <c:v>7.490143743917326</c:v>
                </c:pt>
                <c:pt idx="10">
                  <c:v>7.49083672906478</c:v>
                </c:pt>
                <c:pt idx="11">
                  <c:v>7.491529714212234</c:v>
                </c:pt>
                <c:pt idx="12">
                  <c:v>7.492222699359688</c:v>
                </c:pt>
                <c:pt idx="13">
                  <c:v>7.4929156845071425</c:v>
                </c:pt>
                <c:pt idx="14">
                  <c:v>7.493608669654597</c:v>
                </c:pt>
                <c:pt idx="15">
                  <c:v>7.494301654802051</c:v>
                </c:pt>
                <c:pt idx="16">
                  <c:v>7.494994639949505</c:v>
                </c:pt>
                <c:pt idx="17">
                  <c:v>7.495687625096959</c:v>
                </c:pt>
                <c:pt idx="18">
                  <c:v>7.4963806102444135</c:v>
                </c:pt>
                <c:pt idx="19">
                  <c:v>7.497073595391868</c:v>
                </c:pt>
                <c:pt idx="20">
                  <c:v>7.497766580539322</c:v>
                </c:pt>
                <c:pt idx="21">
                  <c:v>7.498459565686776</c:v>
                </c:pt>
                <c:pt idx="22">
                  <c:v>7.49915255083423</c:v>
                </c:pt>
                <c:pt idx="23">
                  <c:v>7.4998455359816845</c:v>
                </c:pt>
                <c:pt idx="24">
                  <c:v>7.500538521129139</c:v>
                </c:pt>
                <c:pt idx="25">
                  <c:v>7.501231506276593</c:v>
                </c:pt>
                <c:pt idx="26">
                  <c:v>7.501924491424047</c:v>
                </c:pt>
                <c:pt idx="27">
                  <c:v>7.502617476571501</c:v>
                </c:pt>
                <c:pt idx="28">
                  <c:v>7.503310461718955</c:v>
                </c:pt>
                <c:pt idx="29">
                  <c:v>7.50400344686641</c:v>
                </c:pt>
                <c:pt idx="30">
                  <c:v>7.504696432013864</c:v>
                </c:pt>
                <c:pt idx="31">
                  <c:v>7.505389417161318</c:v>
                </c:pt>
                <c:pt idx="32">
                  <c:v>7.506082402308772</c:v>
                </c:pt>
                <c:pt idx="33">
                  <c:v>7.506775387456226</c:v>
                </c:pt>
                <c:pt idx="34">
                  <c:v>7.507468372603681</c:v>
                </c:pt>
                <c:pt idx="35">
                  <c:v>7.508161357751135</c:v>
                </c:pt>
                <c:pt idx="36">
                  <c:v>7.508854342898589</c:v>
                </c:pt>
                <c:pt idx="37">
                  <c:v>7.509547328046043</c:v>
                </c:pt>
                <c:pt idx="38">
                  <c:v>7.510240313193497</c:v>
                </c:pt>
                <c:pt idx="39">
                  <c:v>7.510933298340952</c:v>
                </c:pt>
                <c:pt idx="40">
                  <c:v>7.511626283488406</c:v>
                </c:pt>
                <c:pt idx="41">
                  <c:v>7.51231926863586</c:v>
                </c:pt>
                <c:pt idx="42">
                  <c:v>7.513012253783314</c:v>
                </c:pt>
                <c:pt idx="43">
                  <c:v>7.513705238930768</c:v>
                </c:pt>
                <c:pt idx="44">
                  <c:v>7.5143982240782226</c:v>
                </c:pt>
                <c:pt idx="45">
                  <c:v>7.515091209225677</c:v>
                </c:pt>
                <c:pt idx="46">
                  <c:v>7.515784194373131</c:v>
                </c:pt>
                <c:pt idx="47">
                  <c:v>7.516477179520585</c:v>
                </c:pt>
                <c:pt idx="48">
                  <c:v>7.517170164668039</c:v>
                </c:pt>
                <c:pt idx="49">
                  <c:v>7.5178631498154935</c:v>
                </c:pt>
                <c:pt idx="50">
                  <c:v>7.518556134962948</c:v>
                </c:pt>
                <c:pt idx="51">
                  <c:v>7.519249120110402</c:v>
                </c:pt>
                <c:pt idx="52">
                  <c:v>7.519942105257856</c:v>
                </c:pt>
                <c:pt idx="53">
                  <c:v>7.52063509040531</c:v>
                </c:pt>
                <c:pt idx="54">
                  <c:v>7.5213280755527645</c:v>
                </c:pt>
                <c:pt idx="55">
                  <c:v>7.522021060700219</c:v>
                </c:pt>
                <c:pt idx="56">
                  <c:v>7.522714045847673</c:v>
                </c:pt>
                <c:pt idx="57">
                  <c:v>7.523407030995127</c:v>
                </c:pt>
                <c:pt idx="58">
                  <c:v>7.524100016142581</c:v>
                </c:pt>
                <c:pt idx="59">
                  <c:v>7.5247930012900355</c:v>
                </c:pt>
                <c:pt idx="60">
                  <c:v>7.52548598643749</c:v>
                </c:pt>
                <c:pt idx="61">
                  <c:v>7.526178971584944</c:v>
                </c:pt>
                <c:pt idx="62">
                  <c:v>7.526871956732398</c:v>
                </c:pt>
                <c:pt idx="63">
                  <c:v>7.527564941879852</c:v>
                </c:pt>
                <c:pt idx="64">
                  <c:v>7.5282579270273065</c:v>
                </c:pt>
                <c:pt idx="65">
                  <c:v>7.528950912174761</c:v>
                </c:pt>
                <c:pt idx="66">
                  <c:v>7.529643897322215</c:v>
                </c:pt>
                <c:pt idx="67">
                  <c:v>7.530336882469669</c:v>
                </c:pt>
                <c:pt idx="68">
                  <c:v>7.531029867617123</c:v>
                </c:pt>
                <c:pt idx="69">
                  <c:v>7.531722852764577</c:v>
                </c:pt>
                <c:pt idx="70">
                  <c:v>7.532415837912032</c:v>
                </c:pt>
                <c:pt idx="71">
                  <c:v>7.533108823059486</c:v>
                </c:pt>
                <c:pt idx="72">
                  <c:v>7.53380180820694</c:v>
                </c:pt>
                <c:pt idx="73">
                  <c:v>7.534494793354394</c:v>
                </c:pt>
                <c:pt idx="74">
                  <c:v>7.535187778501848</c:v>
                </c:pt>
                <c:pt idx="75">
                  <c:v>7.535880763649303</c:v>
                </c:pt>
                <c:pt idx="76">
                  <c:v>7.536573748796757</c:v>
                </c:pt>
                <c:pt idx="77">
                  <c:v>7.537266733944211</c:v>
                </c:pt>
                <c:pt idx="78">
                  <c:v>7.537959719091665</c:v>
                </c:pt>
                <c:pt idx="79">
                  <c:v>7.538652704239119</c:v>
                </c:pt>
                <c:pt idx="80">
                  <c:v>7.539345689386574</c:v>
                </c:pt>
                <c:pt idx="81">
                  <c:v>7.540038674534028</c:v>
                </c:pt>
                <c:pt idx="82">
                  <c:v>7.540731659681482</c:v>
                </c:pt>
                <c:pt idx="83">
                  <c:v>7.541424644828936</c:v>
                </c:pt>
                <c:pt idx="84">
                  <c:v>7.54211762997639</c:v>
                </c:pt>
                <c:pt idx="85">
                  <c:v>7.5428106151238445</c:v>
                </c:pt>
                <c:pt idx="86">
                  <c:v>7.543503600271299</c:v>
                </c:pt>
                <c:pt idx="87">
                  <c:v>7.544196585418753</c:v>
                </c:pt>
                <c:pt idx="88">
                  <c:v>7.544889570566207</c:v>
                </c:pt>
                <c:pt idx="89">
                  <c:v>7.545582555713661</c:v>
                </c:pt>
                <c:pt idx="90">
                  <c:v>7.5462755408611155</c:v>
                </c:pt>
                <c:pt idx="91">
                  <c:v>7.54696852600857</c:v>
                </c:pt>
                <c:pt idx="92">
                  <c:v>7.547661511156024</c:v>
                </c:pt>
                <c:pt idx="93">
                  <c:v>7.548354496303478</c:v>
                </c:pt>
                <c:pt idx="94">
                  <c:v>7.549047481450932</c:v>
                </c:pt>
                <c:pt idx="95">
                  <c:v>7.5497404665983865</c:v>
                </c:pt>
                <c:pt idx="96">
                  <c:v>7.550433451745841</c:v>
                </c:pt>
                <c:pt idx="97">
                  <c:v>7.551126436893295</c:v>
                </c:pt>
                <c:pt idx="98">
                  <c:v>7.551819422040749</c:v>
                </c:pt>
                <c:pt idx="99">
                  <c:v>7.552512407188203</c:v>
                </c:pt>
                <c:pt idx="100">
                  <c:v>7.5532053923356575</c:v>
                </c:pt>
              </c:numCache>
            </c:numRef>
          </c:xVal>
          <c:yVal>
            <c:numRef>
              <c:f>'T-s diagr. data'!$AA$8:$AA$108</c:f>
              <c:numCache>
                <c:ptCount val="101"/>
                <c:pt idx="0">
                  <c:v>798.15</c:v>
                </c:pt>
                <c:pt idx="1">
                  <c:v>796.0618959966923</c:v>
                </c:pt>
                <c:pt idx="2">
                  <c:v>793.9737919933847</c:v>
                </c:pt>
                <c:pt idx="3">
                  <c:v>791.885687990077</c:v>
                </c:pt>
                <c:pt idx="4">
                  <c:v>789.7975839867694</c:v>
                </c:pt>
                <c:pt idx="5">
                  <c:v>787.7094799834617</c:v>
                </c:pt>
                <c:pt idx="6">
                  <c:v>785.6213759801541</c:v>
                </c:pt>
                <c:pt idx="7">
                  <c:v>783.5332719768464</c:v>
                </c:pt>
                <c:pt idx="8">
                  <c:v>781.4451679735388</c:v>
                </c:pt>
                <c:pt idx="9">
                  <c:v>779.3570639702311</c:v>
                </c:pt>
                <c:pt idx="10">
                  <c:v>777.2689599669235</c:v>
                </c:pt>
                <c:pt idx="11">
                  <c:v>775.1808559636158</c:v>
                </c:pt>
                <c:pt idx="12">
                  <c:v>773.0927519603082</c:v>
                </c:pt>
                <c:pt idx="13">
                  <c:v>771.0046479570005</c:v>
                </c:pt>
                <c:pt idx="14">
                  <c:v>768.9165439536929</c:v>
                </c:pt>
                <c:pt idx="15">
                  <c:v>766.8284399503852</c:v>
                </c:pt>
                <c:pt idx="16">
                  <c:v>764.7403359470776</c:v>
                </c:pt>
                <c:pt idx="17">
                  <c:v>762.65223194377</c:v>
                </c:pt>
                <c:pt idx="18">
                  <c:v>760.5641279404623</c:v>
                </c:pt>
                <c:pt idx="19">
                  <c:v>758.4760239371547</c:v>
                </c:pt>
                <c:pt idx="20">
                  <c:v>756.387919933847</c:v>
                </c:pt>
                <c:pt idx="21">
                  <c:v>754.2998159305394</c:v>
                </c:pt>
                <c:pt idx="22">
                  <c:v>752.2117119272317</c:v>
                </c:pt>
                <c:pt idx="23">
                  <c:v>750.123607923924</c:v>
                </c:pt>
                <c:pt idx="24">
                  <c:v>748.0355039206164</c:v>
                </c:pt>
                <c:pt idx="25">
                  <c:v>745.9473999173088</c:v>
                </c:pt>
                <c:pt idx="26">
                  <c:v>743.8592959140011</c:v>
                </c:pt>
                <c:pt idx="27">
                  <c:v>741.7711919106935</c:v>
                </c:pt>
                <c:pt idx="28">
                  <c:v>739.6830879073858</c:v>
                </c:pt>
                <c:pt idx="29">
                  <c:v>737.5949839040782</c:v>
                </c:pt>
                <c:pt idx="30">
                  <c:v>735.5068799007705</c:v>
                </c:pt>
                <c:pt idx="31">
                  <c:v>733.4187758974629</c:v>
                </c:pt>
                <c:pt idx="32">
                  <c:v>731.3306718941552</c:v>
                </c:pt>
                <c:pt idx="33">
                  <c:v>729.2425678908476</c:v>
                </c:pt>
                <c:pt idx="34">
                  <c:v>727.1544638875399</c:v>
                </c:pt>
                <c:pt idx="35">
                  <c:v>725.0663598842323</c:v>
                </c:pt>
                <c:pt idx="36">
                  <c:v>722.9782558809246</c:v>
                </c:pt>
                <c:pt idx="37">
                  <c:v>720.890151877617</c:v>
                </c:pt>
                <c:pt idx="38">
                  <c:v>718.8020478743093</c:v>
                </c:pt>
                <c:pt idx="39">
                  <c:v>716.7139438710017</c:v>
                </c:pt>
                <c:pt idx="40">
                  <c:v>714.625839867694</c:v>
                </c:pt>
                <c:pt idx="41">
                  <c:v>712.5377358643864</c:v>
                </c:pt>
                <c:pt idx="42">
                  <c:v>710.4496318610787</c:v>
                </c:pt>
                <c:pt idx="43">
                  <c:v>708.3615278577711</c:v>
                </c:pt>
                <c:pt idx="44">
                  <c:v>706.2734238544634</c:v>
                </c:pt>
                <c:pt idx="45">
                  <c:v>704.1853198511558</c:v>
                </c:pt>
                <c:pt idx="46">
                  <c:v>702.0972158478481</c:v>
                </c:pt>
                <c:pt idx="47">
                  <c:v>700.0091118445405</c:v>
                </c:pt>
                <c:pt idx="48">
                  <c:v>697.9210078412328</c:v>
                </c:pt>
                <c:pt idx="49">
                  <c:v>695.8329038379252</c:v>
                </c:pt>
                <c:pt idx="50">
                  <c:v>693.7447998346175</c:v>
                </c:pt>
                <c:pt idx="51">
                  <c:v>691.6566958313099</c:v>
                </c:pt>
                <c:pt idx="52">
                  <c:v>689.5685918280022</c:v>
                </c:pt>
                <c:pt idx="53">
                  <c:v>687.4804878246946</c:v>
                </c:pt>
                <c:pt idx="54">
                  <c:v>685.3923838213869</c:v>
                </c:pt>
                <c:pt idx="55">
                  <c:v>683.3042798180793</c:v>
                </c:pt>
                <c:pt idx="56">
                  <c:v>681.2161758147716</c:v>
                </c:pt>
                <c:pt idx="57">
                  <c:v>679.128071811464</c:v>
                </c:pt>
                <c:pt idx="58">
                  <c:v>677.0399678081563</c:v>
                </c:pt>
                <c:pt idx="59">
                  <c:v>674.9518638048487</c:v>
                </c:pt>
                <c:pt idx="60">
                  <c:v>672.863759801541</c:v>
                </c:pt>
                <c:pt idx="61">
                  <c:v>670.7756557982334</c:v>
                </c:pt>
                <c:pt idx="62">
                  <c:v>668.6875517949258</c:v>
                </c:pt>
                <c:pt idx="63">
                  <c:v>666.5994477916181</c:v>
                </c:pt>
                <c:pt idx="64">
                  <c:v>664.5113437883105</c:v>
                </c:pt>
                <c:pt idx="65">
                  <c:v>662.4232397850028</c:v>
                </c:pt>
                <c:pt idx="66">
                  <c:v>660.3351357816952</c:v>
                </c:pt>
                <c:pt idx="67">
                  <c:v>658.2470317783875</c:v>
                </c:pt>
                <c:pt idx="68">
                  <c:v>656.1589277750799</c:v>
                </c:pt>
                <c:pt idx="69">
                  <c:v>654.0708237717722</c:v>
                </c:pt>
                <c:pt idx="70">
                  <c:v>651.9827197684646</c:v>
                </c:pt>
                <c:pt idx="71">
                  <c:v>649.8946157651569</c:v>
                </c:pt>
                <c:pt idx="72">
                  <c:v>647.8065117618493</c:v>
                </c:pt>
                <c:pt idx="73">
                  <c:v>645.7184077585416</c:v>
                </c:pt>
                <c:pt idx="74">
                  <c:v>643.630303755234</c:v>
                </c:pt>
                <c:pt idx="75">
                  <c:v>641.5421997519263</c:v>
                </c:pt>
                <c:pt idx="76">
                  <c:v>639.4540957486187</c:v>
                </c:pt>
                <c:pt idx="77">
                  <c:v>637.365991745311</c:v>
                </c:pt>
                <c:pt idx="78">
                  <c:v>635.2778877420034</c:v>
                </c:pt>
                <c:pt idx="79">
                  <c:v>633.1897837386957</c:v>
                </c:pt>
                <c:pt idx="80">
                  <c:v>631.1016797353881</c:v>
                </c:pt>
                <c:pt idx="81">
                  <c:v>629.0135757320804</c:v>
                </c:pt>
                <c:pt idx="82">
                  <c:v>626.9254717287728</c:v>
                </c:pt>
                <c:pt idx="83">
                  <c:v>624.8373677254651</c:v>
                </c:pt>
                <c:pt idx="84">
                  <c:v>622.7492637221575</c:v>
                </c:pt>
                <c:pt idx="85">
                  <c:v>620.6611597188498</c:v>
                </c:pt>
                <c:pt idx="86">
                  <c:v>618.5730557155422</c:v>
                </c:pt>
                <c:pt idx="87">
                  <c:v>616.4849517122345</c:v>
                </c:pt>
                <c:pt idx="88">
                  <c:v>614.3968477089269</c:v>
                </c:pt>
                <c:pt idx="89">
                  <c:v>612.3087437056192</c:v>
                </c:pt>
                <c:pt idx="90">
                  <c:v>610.2206397023116</c:v>
                </c:pt>
                <c:pt idx="91">
                  <c:v>608.1325356990039</c:v>
                </c:pt>
                <c:pt idx="92">
                  <c:v>606.0444316956963</c:v>
                </c:pt>
                <c:pt idx="93">
                  <c:v>603.9563276923886</c:v>
                </c:pt>
                <c:pt idx="94">
                  <c:v>601.868223689081</c:v>
                </c:pt>
                <c:pt idx="95">
                  <c:v>599.7801196857733</c:v>
                </c:pt>
                <c:pt idx="96">
                  <c:v>597.6920156824657</c:v>
                </c:pt>
                <c:pt idx="97">
                  <c:v>595.603911679158</c:v>
                </c:pt>
                <c:pt idx="98">
                  <c:v>593.5158076758504</c:v>
                </c:pt>
                <c:pt idx="99">
                  <c:v>591.4277036725427</c:v>
                </c:pt>
                <c:pt idx="100">
                  <c:v>589.3395996692351</c:v>
                </c:pt>
              </c:numCache>
            </c:numRef>
          </c:yVal>
          <c:smooth val="0"/>
        </c:ser>
        <c:ser>
          <c:idx val="12"/>
          <c:order val="12"/>
          <c:tx>
            <c:v>Isobaric heating 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data'!$G$8:$G$108</c:f>
              <c:numCache>
                <c:ptCount val="101"/>
                <c:pt idx="0">
                  <c:v>7.0040002774232395</c:v>
                </c:pt>
                <c:pt idx="1">
                  <c:v>7.00879934342491</c:v>
                </c:pt>
                <c:pt idx="2">
                  <c:v>7.01359840942658</c:v>
                </c:pt>
                <c:pt idx="3">
                  <c:v>7.01839747542825</c:v>
                </c:pt>
                <c:pt idx="4">
                  <c:v>7.02319654142992</c:v>
                </c:pt>
                <c:pt idx="5">
                  <c:v>7.02799560743159</c:v>
                </c:pt>
                <c:pt idx="6">
                  <c:v>7.03279467343326</c:v>
                </c:pt>
                <c:pt idx="7">
                  <c:v>7.03759373943493</c:v>
                </c:pt>
                <c:pt idx="8">
                  <c:v>7.0423928054366005</c:v>
                </c:pt>
                <c:pt idx="9">
                  <c:v>7.047191871438271</c:v>
                </c:pt>
                <c:pt idx="10">
                  <c:v>7.051990937439941</c:v>
                </c:pt>
                <c:pt idx="11">
                  <c:v>7.056790003441611</c:v>
                </c:pt>
                <c:pt idx="12">
                  <c:v>7.061589069443281</c:v>
                </c:pt>
                <c:pt idx="13">
                  <c:v>7.066388135444951</c:v>
                </c:pt>
                <c:pt idx="14">
                  <c:v>7.071187201446621</c:v>
                </c:pt>
                <c:pt idx="15">
                  <c:v>7.075986267448291</c:v>
                </c:pt>
                <c:pt idx="16">
                  <c:v>7.0807853334499615</c:v>
                </c:pt>
                <c:pt idx="17">
                  <c:v>7.085584399451632</c:v>
                </c:pt>
                <c:pt idx="18">
                  <c:v>7.090383465453302</c:v>
                </c:pt>
                <c:pt idx="19">
                  <c:v>7.095182531454972</c:v>
                </c:pt>
                <c:pt idx="20">
                  <c:v>7.099981597456642</c:v>
                </c:pt>
                <c:pt idx="21">
                  <c:v>7.104780663458312</c:v>
                </c:pt>
                <c:pt idx="22">
                  <c:v>7.109579729459982</c:v>
                </c:pt>
                <c:pt idx="23">
                  <c:v>7.114378795461652</c:v>
                </c:pt>
                <c:pt idx="24">
                  <c:v>7.1191778614633225</c:v>
                </c:pt>
                <c:pt idx="25">
                  <c:v>7.123976927464993</c:v>
                </c:pt>
                <c:pt idx="26">
                  <c:v>7.128775993466663</c:v>
                </c:pt>
                <c:pt idx="27">
                  <c:v>7.133575059468333</c:v>
                </c:pt>
                <c:pt idx="28">
                  <c:v>7.138374125470003</c:v>
                </c:pt>
                <c:pt idx="29">
                  <c:v>7.143173191471673</c:v>
                </c:pt>
                <c:pt idx="30">
                  <c:v>7.147972257473343</c:v>
                </c:pt>
                <c:pt idx="31">
                  <c:v>7.152771323475013</c:v>
                </c:pt>
                <c:pt idx="32">
                  <c:v>7.157570389476684</c:v>
                </c:pt>
                <c:pt idx="33">
                  <c:v>7.162369455478354</c:v>
                </c:pt>
                <c:pt idx="34">
                  <c:v>7.167168521480024</c:v>
                </c:pt>
                <c:pt idx="35">
                  <c:v>7.171967587481694</c:v>
                </c:pt>
                <c:pt idx="36">
                  <c:v>7.176766653483364</c:v>
                </c:pt>
                <c:pt idx="37">
                  <c:v>7.181565719485034</c:v>
                </c:pt>
                <c:pt idx="38">
                  <c:v>7.186364785486704</c:v>
                </c:pt>
                <c:pt idx="39">
                  <c:v>7.1911638514883744</c:v>
                </c:pt>
                <c:pt idx="40">
                  <c:v>7.195962917490045</c:v>
                </c:pt>
                <c:pt idx="41">
                  <c:v>7.200761983491715</c:v>
                </c:pt>
                <c:pt idx="42">
                  <c:v>7.205561049493385</c:v>
                </c:pt>
                <c:pt idx="43">
                  <c:v>7.210360115495055</c:v>
                </c:pt>
                <c:pt idx="44">
                  <c:v>7.215159181496725</c:v>
                </c:pt>
                <c:pt idx="45">
                  <c:v>7.219958247498395</c:v>
                </c:pt>
                <c:pt idx="46">
                  <c:v>7.224757313500065</c:v>
                </c:pt>
                <c:pt idx="47">
                  <c:v>7.2295563795017355</c:v>
                </c:pt>
                <c:pt idx="48">
                  <c:v>7.234355445503406</c:v>
                </c:pt>
                <c:pt idx="49">
                  <c:v>7.239154511505076</c:v>
                </c:pt>
                <c:pt idx="50">
                  <c:v>7.243953577506746</c:v>
                </c:pt>
                <c:pt idx="51">
                  <c:v>7.248752643508416</c:v>
                </c:pt>
                <c:pt idx="52">
                  <c:v>7.253551709510086</c:v>
                </c:pt>
                <c:pt idx="53">
                  <c:v>7.258350775511756</c:v>
                </c:pt>
                <c:pt idx="54">
                  <c:v>7.263149841513426</c:v>
                </c:pt>
                <c:pt idx="55">
                  <c:v>7.2679489075150965</c:v>
                </c:pt>
                <c:pt idx="56">
                  <c:v>7.272747973516767</c:v>
                </c:pt>
                <c:pt idx="57">
                  <c:v>7.277547039518437</c:v>
                </c:pt>
                <c:pt idx="58">
                  <c:v>7.282346105520107</c:v>
                </c:pt>
                <c:pt idx="59">
                  <c:v>7.287145171521777</c:v>
                </c:pt>
                <c:pt idx="60">
                  <c:v>7.291944237523447</c:v>
                </c:pt>
                <c:pt idx="61">
                  <c:v>7.296743303525117</c:v>
                </c:pt>
                <c:pt idx="62">
                  <c:v>7.301542369526787</c:v>
                </c:pt>
                <c:pt idx="63">
                  <c:v>7.3063414355284575</c:v>
                </c:pt>
                <c:pt idx="64">
                  <c:v>7.311140501530128</c:v>
                </c:pt>
                <c:pt idx="65">
                  <c:v>7.315939567531798</c:v>
                </c:pt>
                <c:pt idx="66">
                  <c:v>7.320738633533468</c:v>
                </c:pt>
                <c:pt idx="67">
                  <c:v>7.325537699535138</c:v>
                </c:pt>
                <c:pt idx="68">
                  <c:v>7.330336765536808</c:v>
                </c:pt>
                <c:pt idx="69">
                  <c:v>7.335135831538478</c:v>
                </c:pt>
                <c:pt idx="70">
                  <c:v>7.339934897540148</c:v>
                </c:pt>
                <c:pt idx="71">
                  <c:v>7.3447339635418185</c:v>
                </c:pt>
                <c:pt idx="72">
                  <c:v>7.349533029543489</c:v>
                </c:pt>
                <c:pt idx="73">
                  <c:v>7.354332095545159</c:v>
                </c:pt>
                <c:pt idx="74">
                  <c:v>7.359131161546829</c:v>
                </c:pt>
                <c:pt idx="75">
                  <c:v>7.363930227548499</c:v>
                </c:pt>
                <c:pt idx="76">
                  <c:v>7.368729293550169</c:v>
                </c:pt>
                <c:pt idx="77">
                  <c:v>7.373528359551839</c:v>
                </c:pt>
                <c:pt idx="78">
                  <c:v>7.378327425553509</c:v>
                </c:pt>
                <c:pt idx="79">
                  <c:v>7.3831264915551795</c:v>
                </c:pt>
                <c:pt idx="80">
                  <c:v>7.38792555755685</c:v>
                </c:pt>
                <c:pt idx="81">
                  <c:v>7.39272462355852</c:v>
                </c:pt>
                <c:pt idx="82">
                  <c:v>7.39752368956019</c:v>
                </c:pt>
                <c:pt idx="83">
                  <c:v>7.40232275556186</c:v>
                </c:pt>
                <c:pt idx="84">
                  <c:v>7.40712182156353</c:v>
                </c:pt>
                <c:pt idx="85">
                  <c:v>7.4119208875652</c:v>
                </c:pt>
                <c:pt idx="86">
                  <c:v>7.41671995356687</c:v>
                </c:pt>
                <c:pt idx="87">
                  <c:v>7.4215190195685405</c:v>
                </c:pt>
                <c:pt idx="88">
                  <c:v>7.426318085570211</c:v>
                </c:pt>
                <c:pt idx="89">
                  <c:v>7.431117151571881</c:v>
                </c:pt>
                <c:pt idx="90">
                  <c:v>7.435916217573551</c:v>
                </c:pt>
                <c:pt idx="91">
                  <c:v>7.440715283575221</c:v>
                </c:pt>
                <c:pt idx="92">
                  <c:v>7.445514349576891</c:v>
                </c:pt>
                <c:pt idx="93">
                  <c:v>7.450313415578561</c:v>
                </c:pt>
                <c:pt idx="94">
                  <c:v>7.455112481580231</c:v>
                </c:pt>
                <c:pt idx="95">
                  <c:v>7.459911547581902</c:v>
                </c:pt>
                <c:pt idx="96">
                  <c:v>7.464710613583572</c:v>
                </c:pt>
                <c:pt idx="97">
                  <c:v>7.469509679585242</c:v>
                </c:pt>
                <c:pt idx="98">
                  <c:v>7.474308745586912</c:v>
                </c:pt>
                <c:pt idx="99">
                  <c:v>7.479107811588582</c:v>
                </c:pt>
                <c:pt idx="100">
                  <c:v>7.483906877590252</c:v>
                </c:pt>
              </c:numCache>
            </c:numRef>
          </c:xVal>
          <c:yVal>
            <c:numRef>
              <c:f>'T-s diagr. data'!$H$8:$H$108</c:f>
              <c:numCache>
                <c:ptCount val="101"/>
                <c:pt idx="0">
                  <c:v>507.62783844173816</c:v>
                </c:pt>
                <c:pt idx="1">
                  <c:v>509.9964996805737</c:v>
                </c:pt>
                <c:pt idx="2">
                  <c:v>512.3751465116591</c:v>
                </c:pt>
                <c:pt idx="3">
                  <c:v>514.7638060350432</c:v>
                </c:pt>
                <c:pt idx="4">
                  <c:v>517.162505293589</c:v>
                </c:pt>
                <c:pt idx="5">
                  <c:v>519.571271273003</c:v>
                </c:pt>
                <c:pt idx="6">
                  <c:v>521.9901309019009</c:v>
                </c:pt>
                <c:pt idx="7">
                  <c:v>524.4191110519394</c:v>
                </c:pt>
                <c:pt idx="8">
                  <c:v>526.8582385379764</c:v>
                </c:pt>
                <c:pt idx="9">
                  <c:v>529.3075401182822</c:v>
                </c:pt>
                <c:pt idx="10">
                  <c:v>531.7670424948072</c:v>
                </c:pt>
                <c:pt idx="11">
                  <c:v>534.2367723134901</c:v>
                </c:pt>
                <c:pt idx="12">
                  <c:v>536.7167561646186</c:v>
                </c:pt>
                <c:pt idx="13">
                  <c:v>539.2070205832462</c:v>
                </c:pt>
                <c:pt idx="14">
                  <c:v>541.7075920496462</c:v>
                </c:pt>
                <c:pt idx="15">
                  <c:v>544.2184969898424</c:v>
                </c:pt>
                <c:pt idx="16">
                  <c:v>546.7397617761643</c:v>
                </c:pt>
                <c:pt idx="17">
                  <c:v>549.271412727886</c:v>
                </c:pt>
                <c:pt idx="18">
                  <c:v>551.8134761118948</c:v>
                </c:pt>
                <c:pt idx="19">
                  <c:v>554.3659781434338</c:v>
                </c:pt>
                <c:pt idx="20">
                  <c:v>556.9289449868913</c:v>
                </c:pt>
                <c:pt idx="21">
                  <c:v>559.5024027566561</c:v>
                </c:pt>
                <c:pt idx="22">
                  <c:v>562.0863775180239</c:v>
                </c:pt>
                <c:pt idx="23">
                  <c:v>564.6808952881662</c:v>
                </c:pt>
                <c:pt idx="24">
                  <c:v>567.2859820371634</c:v>
                </c:pt>
                <c:pt idx="25">
                  <c:v>569.9016636890971</c:v>
                </c:pt>
                <c:pt idx="26">
                  <c:v>572.5279661231984</c:v>
                </c:pt>
                <c:pt idx="27">
                  <c:v>575.1649151750661</c:v>
                </c:pt>
                <c:pt idx="28">
                  <c:v>577.8125366379577</c:v>
                </c:pt>
                <c:pt idx="29">
                  <c:v>580.4708562641196</c:v>
                </c:pt>
                <c:pt idx="30">
                  <c:v>583.1398997662138</c:v>
                </c:pt>
                <c:pt idx="31">
                  <c:v>585.8196928187793</c:v>
                </c:pt>
                <c:pt idx="32">
                  <c:v>588.5102610597947</c:v>
                </c:pt>
                <c:pt idx="33">
                  <c:v>591.2116300922772</c:v>
                </c:pt>
                <c:pt idx="34">
                  <c:v>593.9238254859774</c:v>
                </c:pt>
                <c:pt idx="35">
                  <c:v>596.6468727791246</c:v>
                </c:pt>
                <c:pt idx="36">
                  <c:v>599.3807974802525</c:v>
                </c:pt>
                <c:pt idx="37">
                  <c:v>602.1256250700948</c:v>
                </c:pt>
                <c:pt idx="38">
                  <c:v>604.8813810035571</c:v>
                </c:pt>
                <c:pt idx="39">
                  <c:v>607.6480907117495</c:v>
                </c:pt>
                <c:pt idx="40">
                  <c:v>610.4257796041118</c:v>
                </c:pt>
                <c:pt idx="41">
                  <c:v>613.214473070596</c:v>
                </c:pt>
                <c:pt idx="42">
                  <c:v>616.0141964839369</c:v>
                </c:pt>
                <c:pt idx="43">
                  <c:v>618.8249752019957</c:v>
                </c:pt>
                <c:pt idx="44">
                  <c:v>621.646834570178</c:v>
                </c:pt>
                <c:pt idx="45">
                  <c:v>624.4797999239319</c:v>
                </c:pt>
                <c:pt idx="46">
                  <c:v>627.3238965913305</c:v>
                </c:pt>
                <c:pt idx="47">
                  <c:v>630.1791498311019</c:v>
                </c:pt>
                <c:pt idx="48">
                  <c:v>633.045585036773</c:v>
                </c:pt>
                <c:pt idx="49">
                  <c:v>635.9232275302627</c:v>
                </c:pt>
                <c:pt idx="50">
                  <c:v>638.8121026366438</c:v>
                </c:pt>
                <c:pt idx="51">
                  <c:v>641.7122361878214</c:v>
                </c:pt>
                <c:pt idx="52">
                  <c:v>644.6236525255946</c:v>
                </c:pt>
                <c:pt idx="53">
                  <c:v>647.5463775048046</c:v>
                </c:pt>
                <c:pt idx="54">
                  <c:v>650.4804364965535</c:v>
                </c:pt>
                <c:pt idx="55">
                  <c:v>653.4258548915425</c:v>
                </c:pt>
                <c:pt idx="56">
                  <c:v>656.3826581034625</c:v>
                </c:pt>
                <c:pt idx="57">
                  <c:v>659.3508715725026</c:v>
                </c:pt>
                <c:pt idx="58">
                  <c:v>662.3305207689319</c:v>
                </c:pt>
                <c:pt idx="59">
                  <c:v>665.3216311967773</c:v>
                </c:pt>
                <c:pt idx="60">
                  <c:v>668.3242283975948</c:v>
                </c:pt>
                <c:pt idx="61">
                  <c:v>671.3383379543241</c:v>
                </c:pt>
                <c:pt idx="62">
                  <c:v>674.3639854952525</c:v>
                </c:pt>
                <c:pt idx="63">
                  <c:v>677.4011966980518</c:v>
                </c:pt>
                <c:pt idx="64">
                  <c:v>680.4499972939275</c:v>
                </c:pt>
                <c:pt idx="65">
                  <c:v>683.5104130718535</c:v>
                </c:pt>
                <c:pt idx="66">
                  <c:v>686.5824698829048</c:v>
                </c:pt>
                <c:pt idx="67">
                  <c:v>689.6661936446915</c:v>
                </c:pt>
                <c:pt idx="68">
                  <c:v>692.7616103458821</c:v>
                </c:pt>
                <c:pt idx="69">
                  <c:v>695.8687460508356</c:v>
                </c:pt>
                <c:pt idx="70">
                  <c:v>698.9876269043248</c:v>
                </c:pt>
                <c:pt idx="71">
                  <c:v>702.1182791363674</c:v>
                </c:pt>
                <c:pt idx="72">
                  <c:v>705.2607290671468</c:v>
                </c:pt>
                <c:pt idx="73">
                  <c:v>708.4150031120558</c:v>
                </c:pt>
                <c:pt idx="74">
                  <c:v>711.5811277868146</c:v>
                </c:pt>
                <c:pt idx="75">
                  <c:v>714.7591297127248</c:v>
                </c:pt>
                <c:pt idx="76">
                  <c:v>717.9490356220001</c:v>
                </c:pt>
                <c:pt idx="77">
                  <c:v>721.1508723632289</c:v>
                </c:pt>
                <c:pt idx="78">
                  <c:v>724.3646669069129</c:v>
                </c:pt>
                <c:pt idx="79">
                  <c:v>727.5904463511495</c:v>
                </c:pt>
                <c:pt idx="80">
                  <c:v>730.8282379273963</c:v>
                </c:pt>
                <c:pt idx="81">
                  <c:v>734.0780690063577</c:v>
                </c:pt>
                <c:pt idx="82">
                  <c:v>737.3399671039784</c:v>
                </c:pt>
                <c:pt idx="83">
                  <c:v>740.6139598875513</c:v>
                </c:pt>
                <c:pt idx="84">
                  <c:v>743.9000751819405</c:v>
                </c:pt>
                <c:pt idx="85">
                  <c:v>747.1983409759165</c:v>
                </c:pt>
                <c:pt idx="86">
                  <c:v>750.508785428601</c:v>
                </c:pt>
                <c:pt idx="87">
                  <c:v>753.8314368760485</c:v>
                </c:pt>
                <c:pt idx="88">
                  <c:v>757.1663238379155</c:v>
                </c:pt>
                <c:pt idx="89">
                  <c:v>760.5134750242838</c:v>
                </c:pt>
                <c:pt idx="90">
                  <c:v>763.8729193425712</c:v>
                </c:pt>
                <c:pt idx="91">
                  <c:v>767.2446859045937</c:v>
                </c:pt>
                <c:pt idx="92">
                  <c:v>770.628804033723</c:v>
                </c:pt>
                <c:pt idx="93">
                  <c:v>774.0253032721969</c:v>
                </c:pt>
                <c:pt idx="94">
                  <c:v>777.4342133885336</c:v>
                </c:pt>
                <c:pt idx="95">
                  <c:v>780.8555643850801</c:v>
                </c:pt>
                <c:pt idx="96">
                  <c:v>784.2893865056986</c:v>
                </c:pt>
                <c:pt idx="97">
                  <c:v>787.7357102435682</c:v>
                </c:pt>
                <c:pt idx="98">
                  <c:v>791.1945663491381</c:v>
                </c:pt>
                <c:pt idx="99">
                  <c:v>794.6659858381897</c:v>
                </c:pt>
                <c:pt idx="100">
                  <c:v>798.1500000000555</c:v>
                </c:pt>
              </c:numCache>
            </c:numRef>
          </c:yVal>
          <c:smooth val="0"/>
        </c:ser>
        <c:ser>
          <c:idx val="13"/>
          <c:order val="13"/>
          <c:tx>
            <c:v>Isobarig cooling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data'!$J$8:$J$108</c:f>
              <c:numCache>
                <c:ptCount val="101"/>
                <c:pt idx="0">
                  <c:v>7.553205392335613</c:v>
                </c:pt>
                <c:pt idx="1">
                  <c:v>7.546091445825549</c:v>
                </c:pt>
                <c:pt idx="2">
                  <c:v>7.538977499315484</c:v>
                </c:pt>
                <c:pt idx="3">
                  <c:v>7.53186355280542</c:v>
                </c:pt>
                <c:pt idx="4">
                  <c:v>7.524749606295355</c:v>
                </c:pt>
                <c:pt idx="5">
                  <c:v>7.517635659785291</c:v>
                </c:pt>
                <c:pt idx="6">
                  <c:v>7.510521713275226</c:v>
                </c:pt>
                <c:pt idx="7">
                  <c:v>7.503407766765162</c:v>
                </c:pt>
                <c:pt idx="8">
                  <c:v>7.496293820255097</c:v>
                </c:pt>
                <c:pt idx="9">
                  <c:v>7.489179873745033</c:v>
                </c:pt>
                <c:pt idx="10">
                  <c:v>7.482065927234968</c:v>
                </c:pt>
                <c:pt idx="11">
                  <c:v>7.474951980724904</c:v>
                </c:pt>
                <c:pt idx="12">
                  <c:v>7.467838034214839</c:v>
                </c:pt>
                <c:pt idx="13">
                  <c:v>7.460724087704775</c:v>
                </c:pt>
                <c:pt idx="14">
                  <c:v>7.45361014119471</c:v>
                </c:pt>
                <c:pt idx="15">
                  <c:v>7.446496194684646</c:v>
                </c:pt>
                <c:pt idx="16">
                  <c:v>7.4393822481745815</c:v>
                </c:pt>
                <c:pt idx="17">
                  <c:v>7.432268301664517</c:v>
                </c:pt>
                <c:pt idx="18">
                  <c:v>7.4251543551544525</c:v>
                </c:pt>
                <c:pt idx="19">
                  <c:v>7.418040408644388</c:v>
                </c:pt>
                <c:pt idx="20">
                  <c:v>7.410926462134324</c:v>
                </c:pt>
                <c:pt idx="21">
                  <c:v>7.403812515624259</c:v>
                </c:pt>
                <c:pt idx="22">
                  <c:v>7.396698569114195</c:v>
                </c:pt>
                <c:pt idx="23">
                  <c:v>7.38958462260413</c:v>
                </c:pt>
                <c:pt idx="24">
                  <c:v>7.382470676094066</c:v>
                </c:pt>
                <c:pt idx="25">
                  <c:v>7.375356729584001</c:v>
                </c:pt>
                <c:pt idx="26">
                  <c:v>7.368242783073937</c:v>
                </c:pt>
                <c:pt idx="27">
                  <c:v>7.361128836563872</c:v>
                </c:pt>
                <c:pt idx="28">
                  <c:v>7.354014890053808</c:v>
                </c:pt>
                <c:pt idx="29">
                  <c:v>7.346900943543743</c:v>
                </c:pt>
                <c:pt idx="30">
                  <c:v>7.339786997033679</c:v>
                </c:pt>
                <c:pt idx="31">
                  <c:v>7.332673050523614</c:v>
                </c:pt>
                <c:pt idx="32">
                  <c:v>7.32555910401355</c:v>
                </c:pt>
                <c:pt idx="33">
                  <c:v>7.3184451575034855</c:v>
                </c:pt>
                <c:pt idx="34">
                  <c:v>7.311331210993421</c:v>
                </c:pt>
                <c:pt idx="35">
                  <c:v>7.3042172644833565</c:v>
                </c:pt>
                <c:pt idx="36">
                  <c:v>7.297103317973292</c:v>
                </c:pt>
                <c:pt idx="37">
                  <c:v>7.289989371463228</c:v>
                </c:pt>
                <c:pt idx="38">
                  <c:v>7.282875424953163</c:v>
                </c:pt>
                <c:pt idx="39">
                  <c:v>7.275761478443099</c:v>
                </c:pt>
                <c:pt idx="40">
                  <c:v>7.268647531933034</c:v>
                </c:pt>
                <c:pt idx="41">
                  <c:v>7.26153358542297</c:v>
                </c:pt>
                <c:pt idx="42">
                  <c:v>7.254419638912905</c:v>
                </c:pt>
                <c:pt idx="43">
                  <c:v>7.247305692402841</c:v>
                </c:pt>
                <c:pt idx="44">
                  <c:v>7.240191745892776</c:v>
                </c:pt>
                <c:pt idx="45">
                  <c:v>7.233077799382712</c:v>
                </c:pt>
                <c:pt idx="46">
                  <c:v>7.225963852872647</c:v>
                </c:pt>
                <c:pt idx="47">
                  <c:v>7.218849906362583</c:v>
                </c:pt>
                <c:pt idx="48">
                  <c:v>7.211735959852518</c:v>
                </c:pt>
                <c:pt idx="49">
                  <c:v>7.204622013342454</c:v>
                </c:pt>
                <c:pt idx="50">
                  <c:v>7.197508066832389</c:v>
                </c:pt>
                <c:pt idx="51">
                  <c:v>7.190394120322325</c:v>
                </c:pt>
                <c:pt idx="52">
                  <c:v>7.1832801738122605</c:v>
                </c:pt>
                <c:pt idx="53">
                  <c:v>7.176166227302196</c:v>
                </c:pt>
                <c:pt idx="54">
                  <c:v>7.1690522807921315</c:v>
                </c:pt>
                <c:pt idx="55">
                  <c:v>7.161938334282067</c:v>
                </c:pt>
                <c:pt idx="56">
                  <c:v>7.154824387772003</c:v>
                </c:pt>
                <c:pt idx="57">
                  <c:v>7.147710441261938</c:v>
                </c:pt>
                <c:pt idx="58">
                  <c:v>7.140596494751874</c:v>
                </c:pt>
                <c:pt idx="59">
                  <c:v>7.133482548241809</c:v>
                </c:pt>
                <c:pt idx="60">
                  <c:v>7.126368601731745</c:v>
                </c:pt>
                <c:pt idx="61">
                  <c:v>7.11925465522168</c:v>
                </c:pt>
                <c:pt idx="62">
                  <c:v>7.112140708711616</c:v>
                </c:pt>
                <c:pt idx="63">
                  <c:v>7.105026762201551</c:v>
                </c:pt>
                <c:pt idx="64">
                  <c:v>7.097912815691487</c:v>
                </c:pt>
                <c:pt idx="65">
                  <c:v>7.090798869181422</c:v>
                </c:pt>
                <c:pt idx="66">
                  <c:v>7.083684922671358</c:v>
                </c:pt>
                <c:pt idx="67">
                  <c:v>7.076570976161293</c:v>
                </c:pt>
                <c:pt idx="68">
                  <c:v>7.069457029651229</c:v>
                </c:pt>
                <c:pt idx="69">
                  <c:v>7.062343083141164</c:v>
                </c:pt>
                <c:pt idx="70">
                  <c:v>7.0552291366311</c:v>
                </c:pt>
                <c:pt idx="71">
                  <c:v>7.0481151901210355</c:v>
                </c:pt>
                <c:pt idx="72">
                  <c:v>7.041001243610971</c:v>
                </c:pt>
                <c:pt idx="73">
                  <c:v>7.0338872971009065</c:v>
                </c:pt>
                <c:pt idx="74">
                  <c:v>7.026773350590842</c:v>
                </c:pt>
                <c:pt idx="75">
                  <c:v>7.019659404080778</c:v>
                </c:pt>
                <c:pt idx="76">
                  <c:v>7.012545457570713</c:v>
                </c:pt>
                <c:pt idx="77">
                  <c:v>7.005431511060649</c:v>
                </c:pt>
                <c:pt idx="78">
                  <c:v>6.998317564550584</c:v>
                </c:pt>
                <c:pt idx="79">
                  <c:v>6.99120361804052</c:v>
                </c:pt>
                <c:pt idx="80">
                  <c:v>6.984089671530455</c:v>
                </c:pt>
                <c:pt idx="81">
                  <c:v>6.976975725020391</c:v>
                </c:pt>
                <c:pt idx="82">
                  <c:v>6.969861778510326</c:v>
                </c:pt>
                <c:pt idx="83">
                  <c:v>6.962747832000262</c:v>
                </c:pt>
                <c:pt idx="84">
                  <c:v>6.955633885490197</c:v>
                </c:pt>
                <c:pt idx="85">
                  <c:v>6.948519938980133</c:v>
                </c:pt>
                <c:pt idx="86">
                  <c:v>6.941405992470068</c:v>
                </c:pt>
                <c:pt idx="87">
                  <c:v>6.934292045960004</c:v>
                </c:pt>
                <c:pt idx="88">
                  <c:v>6.9271780994499395</c:v>
                </c:pt>
                <c:pt idx="89">
                  <c:v>6.920064152939875</c:v>
                </c:pt>
                <c:pt idx="90">
                  <c:v>6.9129502064298105</c:v>
                </c:pt>
                <c:pt idx="91">
                  <c:v>6.905836259919746</c:v>
                </c:pt>
                <c:pt idx="92">
                  <c:v>6.898722313409682</c:v>
                </c:pt>
                <c:pt idx="93">
                  <c:v>6.891608366899617</c:v>
                </c:pt>
                <c:pt idx="94">
                  <c:v>6.884494420389553</c:v>
                </c:pt>
                <c:pt idx="95">
                  <c:v>6.877380473879488</c:v>
                </c:pt>
                <c:pt idx="96">
                  <c:v>6.870266527369424</c:v>
                </c:pt>
                <c:pt idx="97">
                  <c:v>6.863152580859359</c:v>
                </c:pt>
                <c:pt idx="98">
                  <c:v>6.856038634349295</c:v>
                </c:pt>
                <c:pt idx="99">
                  <c:v>6.84892468783923</c:v>
                </c:pt>
                <c:pt idx="100">
                  <c:v>6.841810741329166</c:v>
                </c:pt>
              </c:numCache>
            </c:numRef>
          </c:xVal>
          <c:yVal>
            <c:numRef>
              <c:f>'T-s diagr. data'!$K$8:$K$108</c:f>
              <c:numCache>
                <c:ptCount val="101"/>
                <c:pt idx="0">
                  <c:v>589.3395996693741</c:v>
                </c:pt>
                <c:pt idx="1">
                  <c:v>585.3501457642195</c:v>
                </c:pt>
                <c:pt idx="2">
                  <c:v>581.3843593262549</c:v>
                </c:pt>
                <c:pt idx="3">
                  <c:v>577.4421567944537</c:v>
                </c:pt>
                <c:pt idx="4">
                  <c:v>573.5234544263355</c:v>
                </c:pt>
                <c:pt idx="5">
                  <c:v>569.6281682873376</c:v>
                </c:pt>
                <c:pt idx="6">
                  <c:v>565.7562142409046</c:v>
                </c:pt>
                <c:pt idx="7">
                  <c:v>561.9075079392414</c:v>
                </c:pt>
                <c:pt idx="8">
                  <c:v>558.0819648147598</c:v>
                </c:pt>
                <c:pt idx="9">
                  <c:v>554.2795000721904</c:v>
                </c:pt>
                <c:pt idx="10">
                  <c:v>550.5000286813438</c:v>
                </c:pt>
                <c:pt idx="11">
                  <c:v>546.743465370507</c:v>
                </c:pt>
                <c:pt idx="12">
                  <c:v>543.0097246204658</c:v>
                </c:pt>
                <c:pt idx="13">
                  <c:v>539.2987206591339</c:v>
                </c:pt>
                <c:pt idx="14">
                  <c:v>535.6103674567821</c:v>
                </c:pt>
                <c:pt idx="15">
                  <c:v>531.9445787218481</c:v>
                </c:pt>
                <c:pt idx="16">
                  <c:v>528.3012678973115</c:v>
                </c:pt>
                <c:pt idx="17">
                  <c:v>524.680348157631</c:v>
                </c:pt>
                <c:pt idx="18">
                  <c:v>521.0817324062143</c:v>
                </c:pt>
                <c:pt idx="19">
                  <c:v>517.5053332734187</c:v>
                </c:pt>
                <c:pt idx="20">
                  <c:v>513.9510631150688</c:v>
                </c:pt>
                <c:pt idx="21">
                  <c:v>510.41883401146487</c:v>
                </c:pt>
                <c:pt idx="22">
                  <c:v>506.9085577668878</c:v>
                </c:pt>
                <c:pt idx="23">
                  <c:v>503.42014590956524</c:v>
                </c:pt>
                <c:pt idx="24">
                  <c:v>499.95350967814403</c:v>
                </c:pt>
                <c:pt idx="25">
                  <c:v>496.50855998471616</c:v>
                </c:pt>
                <c:pt idx="26">
                  <c:v>493.08520762743024</c:v>
                </c:pt>
                <c:pt idx="27">
                  <c:v>489.6833635376761</c:v>
                </c:pt>
                <c:pt idx="28">
                  <c:v>486.3029368772509</c:v>
                </c:pt>
                <c:pt idx="29">
                  <c:v>482.9438380409018</c:v>
                </c:pt>
                <c:pt idx="30">
                  <c:v>479.6059766592354</c:v>
                </c:pt>
                <c:pt idx="31">
                  <c:v>476.28926210199</c:v>
                </c:pt>
                <c:pt idx="32">
                  <c:v>472.9936034816681</c:v>
                </c:pt>
                <c:pt idx="33">
                  <c:v>469.7189096574905</c:v>
                </c:pt>
                <c:pt idx="34">
                  <c:v>466.4650892396835</c:v>
                </c:pt>
                <c:pt idx="35">
                  <c:v>463.2320505940779</c:v>
                </c:pt>
                <c:pt idx="36">
                  <c:v>460.0197018469938</c:v>
                </c:pt>
                <c:pt idx="37">
                  <c:v>456.82795089042486</c:v>
                </c:pt>
                <c:pt idx="38">
                  <c:v>453.6567053874811</c:v>
                </c:pt>
                <c:pt idx="39">
                  <c:v>450.5058727781002</c:v>
                </c:pt>
                <c:pt idx="40">
                  <c:v>447.37536028499983</c:v>
                </c:pt>
                <c:pt idx="41">
                  <c:v>444.2650749198718</c:v>
                </c:pt>
                <c:pt idx="42">
                  <c:v>441.1749234897949</c:v>
                </c:pt>
                <c:pt idx="43">
                  <c:v>438.1048126038626</c:v>
                </c:pt>
                <c:pt idx="44">
                  <c:v>435.0546484608584</c:v>
                </c:pt>
                <c:pt idx="45">
                  <c:v>432.0243379131794</c:v>
                </c:pt>
                <c:pt idx="46">
                  <c:v>429.0137864752721</c:v>
                </c:pt>
                <c:pt idx="47">
                  <c:v>426.02290015092024</c:v>
                </c:pt>
                <c:pt idx="48">
                  <c:v>423.05158467204774</c:v>
                </c:pt>
                <c:pt idx="49">
                  <c:v>420.0997456386875</c:v>
                </c:pt>
                <c:pt idx="50">
                  <c:v>417.1672884661655</c:v>
                </c:pt>
                <c:pt idx="51">
                  <c:v>414.2541184404259</c:v>
                </c:pt>
                <c:pt idx="52">
                  <c:v>411.3601407169512</c:v>
                </c:pt>
                <c:pt idx="53">
                  <c:v>408.48526032894785</c:v>
                </c:pt>
                <c:pt idx="54">
                  <c:v>405.62938219562426</c:v>
                </c:pt>
                <c:pt idx="55">
                  <c:v>402.7924111305512</c:v>
                </c:pt>
                <c:pt idx="56">
                  <c:v>399.97425185010815</c:v>
                </c:pt>
                <c:pt idx="57">
                  <c:v>397.1748089819891</c:v>
                </c:pt>
                <c:pt idx="58">
                  <c:v>394.3939870737645</c:v>
                </c:pt>
                <c:pt idx="59">
                  <c:v>391.6316906014945</c:v>
                </c:pt>
                <c:pt idx="60">
                  <c:v>388.88782397837707</c:v>
                </c:pt>
                <c:pt idx="61">
                  <c:v>386.1622915634193</c:v>
                </c:pt>
                <c:pt idx="62">
                  <c:v>383.45499767013587</c:v>
                </c:pt>
                <c:pt idx="63">
                  <c:v>380.7658465752475</c:v>
                </c:pt>
                <c:pt idx="64">
                  <c:v>378.0947425273785</c:v>
                </c:pt>
                <c:pt idx="65">
                  <c:v>375.4415897557455</c:v>
                </c:pt>
                <c:pt idx="66">
                  <c:v>372.8062924788193</c:v>
                </c:pt>
                <c:pt idx="67">
                  <c:v>370.188754912965</c:v>
                </c:pt>
                <c:pt idx="68">
                  <c:v>367.5888817810226</c:v>
                </c:pt>
                <c:pt idx="69">
                  <c:v>365.00657632084653</c:v>
                </c:pt>
                <c:pt idx="70">
                  <c:v>362.44174331033787</c:v>
                </c:pt>
                <c:pt idx="71">
                  <c:v>359.89428719477127</c:v>
                </c:pt>
                <c:pt idx="72">
                  <c:v>357.36411219533545</c:v>
                </c:pt>
                <c:pt idx="73">
                  <c:v>354.8511227083222</c:v>
                </c:pt>
                <c:pt idx="74">
                  <c:v>352.35522318962785</c:v>
                </c:pt>
                <c:pt idx="75">
                  <c:v>349.87631816328343</c:v>
                </c:pt>
                <c:pt idx="76">
                  <c:v>347.4143122299188</c:v>
                </c:pt>
                <c:pt idx="77">
                  <c:v>344.9691100751693</c:v>
                </c:pt>
                <c:pt idx="78">
                  <c:v>342.5406164780175</c:v>
                </c:pt>
                <c:pt idx="79">
                  <c:v>340.1287363190595</c:v>
                </c:pt>
                <c:pt idx="80">
                  <c:v>337.7333745886991</c:v>
                </c:pt>
                <c:pt idx="81">
                  <c:v>335.354436395259</c:v>
                </c:pt>
                <c:pt idx="82">
                  <c:v>332.9918269730174</c:v>
                </c:pt>
                <c:pt idx="83">
                  <c:v>330.64545169015145</c:v>
                </c:pt>
                <c:pt idx="84">
                  <c:v>328.315216056595</c:v>
                </c:pt>
                <c:pt idx="85">
                  <c:v>326.0010257318031</c:v>
                </c:pt>
                <c:pt idx="86">
                  <c:v>323.7027865324211</c:v>
                </c:pt>
                <c:pt idx="87">
                  <c:v>321.42040443985945</c:v>
                </c:pt>
                <c:pt idx="88">
                  <c:v>319.1537856077656</c:v>
                </c:pt>
                <c:pt idx="89">
                  <c:v>316.9028363693927</c:v>
                </c:pt>
                <c:pt idx="90">
                  <c:v>314.6674632448687</c:v>
                </c:pt>
                <c:pt idx="91">
                  <c:v>312.44757294835654</c:v>
                </c:pt>
                <c:pt idx="92">
                  <c:v>310.24307239510995</c:v>
                </c:pt>
                <c:pt idx="93">
                  <c:v>308.0538687084172</c:v>
                </c:pt>
                <c:pt idx="94">
                  <c:v>305.87986922643995</c:v>
                </c:pt>
                <c:pt idx="95">
                  <c:v>303.72098150893964</c:v>
                </c:pt>
                <c:pt idx="96">
                  <c:v>301.577113343897</c:v>
                </c:pt>
                <c:pt idx="97">
                  <c:v>299.448172754016</c:v>
                </c:pt>
                <c:pt idx="98">
                  <c:v>297.3340680031281</c:v>
                </c:pt>
                <c:pt idx="99">
                  <c:v>295.2347076024756</c:v>
                </c:pt>
                <c:pt idx="100">
                  <c:v>293.14999981689925</c:v>
                </c:pt>
              </c:numCache>
            </c:numRef>
          </c:yVal>
          <c:smooth val="0"/>
        </c:ser>
        <c:ser>
          <c:idx val="14"/>
          <c:order val="14"/>
          <c:tx>
            <c:v>state 4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'simple Brayton Cycle'!$D$62</c:f>
              <c:numCache/>
            </c:numRef>
          </c:xVal>
          <c:yVal>
            <c:numRef>
              <c:f>'simple Brayton Cycle'!$C$62</c:f>
              <c:numCache/>
            </c:numRef>
          </c:yVal>
          <c:smooth val="0"/>
        </c:ser>
        <c:axId val="45294480"/>
        <c:axId val="4997137"/>
      </c:scatterChart>
      <c:valAx>
        <c:axId val="45294480"/>
        <c:scaling>
          <c:orientation val="minMax"/>
          <c:max val="8.5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[kJ/kgK]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7137"/>
        <c:crosses val="autoZero"/>
        <c:crossBetween val="midCat"/>
        <c:dispUnits/>
      </c:valAx>
      <c:valAx>
        <c:axId val="4997137"/>
        <c:scaling>
          <c:orientation val="minMax"/>
          <c:max val="9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[K]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Compressor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c_p = c_p (T)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6"/>
          <c:w val="0.7457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c_p = c_p 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'Cp=Cp(T)'!$B$4:$B$37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'Cp=Cp(T)'!$C$4:$C$37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44974234"/>
        <c:axId val="2114923"/>
      </c:scatterChart>
      <c:valAx>
        <c:axId val="44974234"/>
        <c:scaling>
          <c:orientation val="minMax"/>
          <c:max val="450"/>
          <c:min val="2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 val="autoZero"/>
        <c:crossBetween val="midCat"/>
        <c:dispUnits/>
      </c:valAx>
      <c:valAx>
        <c:axId val="2114923"/>
        <c:scaling>
          <c:orientation val="minMax"/>
          <c:max val="1.02"/>
          <c:min val="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51475"/>
          <c:w val="0.22425"/>
          <c:h val="0.1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Turbine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c_p = c_p (T)</a:t>
            </a:r>
          </a:p>
        </c:rich>
      </c:tx>
      <c:layout>
        <c:manualLayout>
          <c:xMode val="factor"/>
          <c:yMode val="factor"/>
          <c:x val="-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6"/>
          <c:w val="0.7457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c_p = c_p 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'Cp=Cp(T)'!$D$4:$D$121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xVal>
          <c:yVal>
            <c:numRef>
              <c:f>'Cp=Cp(T)'!$E$4:$E$121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yVal>
          <c:smooth val="0"/>
        </c:ser>
        <c:axId val="19034308"/>
        <c:axId val="37091045"/>
      </c:scatterChart>
      <c:valAx>
        <c:axId val="19034308"/>
        <c:scaling>
          <c:orientation val="minMax"/>
          <c:max val="810"/>
          <c:min val="4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1045"/>
        <c:crosses val="autoZero"/>
        <c:crossBetween val="midCat"/>
        <c:dispUnits/>
      </c:valAx>
      <c:valAx>
        <c:axId val="37091045"/>
        <c:scaling>
          <c:orientation val="minMax"/>
          <c:max val="1.1"/>
          <c:min val="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3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51475"/>
          <c:w val="0.22425"/>
          <c:h val="0.1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0.1625</cdr:y>
    </cdr:from>
    <cdr:to>
      <cdr:x>0.88575</cdr:x>
      <cdr:y>0.31825</cdr:y>
    </cdr:to>
    <cdr:sp>
      <cdr:nvSpPr>
        <cdr:cNvPr id="1" name="TextBox 1"/>
        <cdr:cNvSpPr txBox="1">
          <a:spLocks noChangeArrowheads="1"/>
        </cdr:cNvSpPr>
      </cdr:nvSpPr>
      <cdr:spPr>
        <a:xfrm rot="17507709">
          <a:off x="5048250" y="876300"/>
          <a:ext cx="9810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0.6155</cdr:x>
      <cdr:y>0.1175</cdr:y>
    </cdr:from>
    <cdr:to>
      <cdr:x>0.754</cdr:x>
      <cdr:y>0.2395</cdr:y>
    </cdr:to>
    <cdr:sp>
      <cdr:nvSpPr>
        <cdr:cNvPr id="2" name="TextBox 1"/>
        <cdr:cNvSpPr txBox="1">
          <a:spLocks noChangeArrowheads="1"/>
        </cdr:cNvSpPr>
      </cdr:nvSpPr>
      <cdr:spPr>
        <a:xfrm rot="17342329">
          <a:off x="4191000" y="628650"/>
          <a:ext cx="9429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0.3145</cdr:x>
      <cdr:y>0.6175</cdr:y>
    </cdr:from>
    <cdr:to>
      <cdr:x>0.40675</cdr:x>
      <cdr:y>0.66875</cdr:y>
    </cdr:to>
    <cdr:sp>
      <cdr:nvSpPr>
        <cdr:cNvPr id="3" name="TextBox 2"/>
        <cdr:cNvSpPr txBox="1">
          <a:spLocks noChangeArrowheads="1"/>
        </cdr:cNvSpPr>
      </cdr:nvSpPr>
      <cdr:spPr>
        <a:xfrm>
          <a:off x="2133600" y="3333750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2s GM</a:t>
          </a:r>
        </a:p>
      </cdr:txBody>
    </cdr:sp>
  </cdr:relSizeAnchor>
  <cdr:relSizeAnchor xmlns:cdr="http://schemas.openxmlformats.org/drawingml/2006/chartDrawing">
    <cdr:from>
      <cdr:x>0.36575</cdr:x>
      <cdr:y>0.5315</cdr:y>
    </cdr:from>
    <cdr:to>
      <cdr:x>0.45475</cdr:x>
      <cdr:y>0.583</cdr:y>
    </cdr:to>
    <cdr:sp>
      <cdr:nvSpPr>
        <cdr:cNvPr id="4" name="TextBox 2"/>
        <cdr:cNvSpPr txBox="1">
          <a:spLocks noChangeArrowheads="1"/>
        </cdr:cNvSpPr>
      </cdr:nvSpPr>
      <cdr:spPr>
        <a:xfrm>
          <a:off x="2486025" y="2867025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GM</a:t>
          </a:r>
        </a:p>
      </cdr:txBody>
    </cdr:sp>
  </cdr:relSizeAnchor>
  <cdr:relSizeAnchor xmlns:cdr="http://schemas.openxmlformats.org/drawingml/2006/chartDrawing">
    <cdr:from>
      <cdr:x>0.5795</cdr:x>
      <cdr:y>0.2035</cdr:y>
    </cdr:from>
    <cdr:to>
      <cdr:x>0.624</cdr:x>
      <cdr:y>0.25475</cdr:y>
    </cdr:to>
    <cdr:sp>
      <cdr:nvSpPr>
        <cdr:cNvPr id="5" name="TextBox 2"/>
        <cdr:cNvSpPr txBox="1">
          <a:spLocks noChangeArrowheads="1"/>
        </cdr:cNvSpPr>
      </cdr:nvSpPr>
      <cdr:spPr>
        <a:xfrm>
          <a:off x="3943350" y="10953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0.6145</cdr:x>
      <cdr:y>0.5405</cdr:y>
    </cdr:from>
    <cdr:to>
      <cdr:x>0.6985</cdr:x>
      <cdr:y>0.58625</cdr:y>
    </cdr:to>
    <cdr:sp>
      <cdr:nvSpPr>
        <cdr:cNvPr id="6" name="TextBox 2"/>
        <cdr:cNvSpPr txBox="1">
          <a:spLocks noChangeArrowheads="1"/>
        </cdr:cNvSpPr>
      </cdr:nvSpPr>
      <cdr:spPr>
        <a:xfrm>
          <a:off x="4181475" y="291465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4s GM</a:t>
          </a:r>
        </a:p>
      </cdr:txBody>
    </cdr:sp>
  </cdr:relSizeAnchor>
  <cdr:relSizeAnchor xmlns:cdr="http://schemas.openxmlformats.org/drawingml/2006/chartDrawing">
    <cdr:from>
      <cdr:x>0.64775</cdr:x>
      <cdr:y>0.4715</cdr:y>
    </cdr:from>
    <cdr:to>
      <cdr:x>0.7315</cdr:x>
      <cdr:y>0.52275</cdr:y>
    </cdr:to>
    <cdr:sp>
      <cdr:nvSpPr>
        <cdr:cNvPr id="7" name="TextBox 2"/>
        <cdr:cNvSpPr txBox="1">
          <a:spLocks noChangeArrowheads="1"/>
        </cdr:cNvSpPr>
      </cdr:nvSpPr>
      <cdr:spPr>
        <a:xfrm>
          <a:off x="4410075" y="254317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 GM</a:t>
          </a:r>
        </a:p>
      </cdr:txBody>
    </cdr:sp>
  </cdr:relSizeAnchor>
  <cdr:relSizeAnchor xmlns:cdr="http://schemas.openxmlformats.org/drawingml/2006/chartDrawing">
    <cdr:from>
      <cdr:x>0.631</cdr:x>
      <cdr:y>0.506</cdr:y>
    </cdr:from>
    <cdr:to>
      <cdr:x>0.673</cdr:x>
      <cdr:y>0.55725</cdr:y>
    </cdr:to>
    <cdr:sp>
      <cdr:nvSpPr>
        <cdr:cNvPr id="8" name="TextBox 2"/>
        <cdr:cNvSpPr txBox="1">
          <a:spLocks noChangeArrowheads="1"/>
        </cdr:cNvSpPr>
      </cdr:nvSpPr>
      <cdr:spPr>
        <a:xfrm>
          <a:off x="4295775" y="27241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4</a:t>
          </a:r>
        </a:p>
      </cdr:txBody>
    </cdr:sp>
  </cdr:relSizeAnchor>
  <cdr:relSizeAnchor xmlns:cdr="http://schemas.openxmlformats.org/drawingml/2006/chartDrawing">
    <cdr:from>
      <cdr:x>0.3815</cdr:x>
      <cdr:y>0.8365</cdr:y>
    </cdr:from>
    <cdr:to>
      <cdr:x>0.42075</cdr:x>
      <cdr:y>0.88475</cdr:y>
    </cdr:to>
    <cdr:sp>
      <cdr:nvSpPr>
        <cdr:cNvPr id="9" name="TextBox 2"/>
        <cdr:cNvSpPr txBox="1">
          <a:spLocks noChangeArrowheads="1"/>
        </cdr:cNvSpPr>
      </cdr:nvSpPr>
      <cdr:spPr>
        <a:xfrm>
          <a:off x="2590800" y="4514850"/>
          <a:ext cx="266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1</xdr:row>
      <xdr:rowOff>95250</xdr:rowOff>
    </xdr:from>
    <xdr:to>
      <xdr:col>14</xdr:col>
      <xdr:colOff>114300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248275" y="323850"/>
        <a:ext cx="68103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152400</xdr:rowOff>
    </xdr:from>
    <xdr:to>
      <xdr:col>16</xdr:col>
      <xdr:colOff>495300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391025" y="533400"/>
        <a:ext cx="65817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16</xdr:col>
      <xdr:colOff>485775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4381500" y="4381500"/>
        <a:ext cx="65817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PageLayoutView="0" workbookViewId="0" topLeftCell="A1">
      <selection activeCell="G86" sqref="G86"/>
    </sheetView>
  </sheetViews>
  <sheetFormatPr defaultColWidth="9.140625" defaultRowHeight="15"/>
  <cols>
    <col min="1" max="1" width="30.8515625" style="0" customWidth="1"/>
    <col min="2" max="2" width="17.140625" style="0" customWidth="1"/>
    <col min="4" max="4" width="9.8515625" style="0" customWidth="1"/>
    <col min="5" max="5" width="16.421875" style="0" customWidth="1"/>
    <col min="6" max="6" width="12.28125" style="0" bestFit="1" customWidth="1"/>
    <col min="8" max="8" width="16.7109375" style="0" bestFit="1" customWidth="1"/>
    <col min="9" max="9" width="10.7109375" style="0" customWidth="1"/>
    <col min="10" max="10" width="10.28125" style="0" customWidth="1"/>
  </cols>
  <sheetData>
    <row r="1" ht="18">
      <c r="A1" s="10" t="s">
        <v>0</v>
      </c>
    </row>
    <row r="3" spans="1:6" ht="15">
      <c r="A3" s="13" t="s">
        <v>1</v>
      </c>
      <c r="B3" s="14" t="s">
        <v>3</v>
      </c>
      <c r="C3" s="14"/>
      <c r="D3" s="14"/>
      <c r="E3" s="14"/>
      <c r="F3" s="14"/>
    </row>
    <row r="4" spans="1:6" ht="15">
      <c r="A4" s="13" t="s">
        <v>7</v>
      </c>
      <c r="B4" s="14"/>
      <c r="C4" s="14"/>
      <c r="D4" s="14"/>
      <c r="E4" s="14"/>
      <c r="F4" s="14"/>
    </row>
    <row r="5" spans="1:6" ht="15">
      <c r="A5" s="14"/>
      <c r="B5" s="14" t="s">
        <v>4</v>
      </c>
      <c r="C5" s="15">
        <v>0.21</v>
      </c>
      <c r="D5" s="14"/>
      <c r="E5" s="14"/>
      <c r="F5" s="14"/>
    </row>
    <row r="6" spans="1:6" ht="15">
      <c r="A6" s="14"/>
      <c r="B6" s="14" t="s">
        <v>5</v>
      </c>
      <c r="C6" s="15">
        <v>0.78</v>
      </c>
      <c r="D6" s="14"/>
      <c r="E6" s="14"/>
      <c r="F6" s="14"/>
    </row>
    <row r="7" spans="1:6" ht="15">
      <c r="A7" s="14"/>
      <c r="B7" s="14" t="s">
        <v>6</v>
      </c>
      <c r="C7" s="15">
        <v>0.01</v>
      </c>
      <c r="D7" s="14"/>
      <c r="E7" s="14"/>
      <c r="F7" s="14"/>
    </row>
    <row r="8" spans="1:6" ht="15">
      <c r="A8" s="14"/>
      <c r="B8" s="14"/>
      <c r="C8" s="15"/>
      <c r="D8" s="14"/>
      <c r="E8" s="14"/>
      <c r="F8" s="14"/>
    </row>
    <row r="9" spans="1:6" ht="15">
      <c r="A9" s="13" t="s">
        <v>2</v>
      </c>
      <c r="B9" s="14"/>
      <c r="C9" s="14"/>
      <c r="D9" s="14"/>
      <c r="E9" s="14"/>
      <c r="F9" s="14"/>
    </row>
    <row r="10" spans="1:6" ht="15">
      <c r="A10" s="14" t="str">
        <f>_XLL.SETFLUID("GasMix",B5:B7,C5:C7)</f>
        <v>GasMix, O2, N2, Ar, 0.21, 0.78, 0.01</v>
      </c>
      <c r="B10" s="16"/>
      <c r="C10" s="16"/>
      <c r="D10" s="16"/>
      <c r="E10" s="14"/>
      <c r="F10" s="14"/>
    </row>
    <row r="11" spans="1:6" ht="15">
      <c r="A11" s="15"/>
      <c r="B11" s="16"/>
      <c r="C11" s="16"/>
      <c r="D11" s="16"/>
      <c r="E11" s="14"/>
      <c r="F11" s="14"/>
    </row>
    <row r="12" spans="1:6" ht="15">
      <c r="A12" s="16" t="s">
        <v>45</v>
      </c>
      <c r="B12" s="16"/>
      <c r="C12" s="16"/>
      <c r="D12" s="14"/>
      <c r="E12" s="14"/>
      <c r="F12" s="14"/>
    </row>
    <row r="13" spans="1:6" ht="15.75">
      <c r="A13" s="49" t="s">
        <v>67</v>
      </c>
      <c r="B13" s="17">
        <f>1.4</f>
        <v>1.4</v>
      </c>
      <c r="C13" s="16"/>
      <c r="D13" s="14"/>
      <c r="E13" s="14"/>
      <c r="F13" s="14"/>
    </row>
    <row r="14" spans="1:6" ht="15">
      <c r="A14" s="14"/>
      <c r="B14" s="14"/>
      <c r="C14" s="14"/>
      <c r="D14" s="14"/>
      <c r="E14" s="14"/>
      <c r="F14" s="14"/>
    </row>
    <row r="15" spans="1:6" ht="15">
      <c r="A15" s="13" t="s">
        <v>10</v>
      </c>
      <c r="B15" s="14"/>
      <c r="C15" s="14"/>
      <c r="D15" s="14"/>
      <c r="E15" s="14"/>
      <c r="F15" s="14"/>
    </row>
    <row r="16" spans="1:6" ht="15">
      <c r="A16" s="14"/>
      <c r="B16" s="14"/>
      <c r="C16" s="14"/>
      <c r="D16" s="14"/>
      <c r="E16" s="14"/>
      <c r="F16" s="14"/>
    </row>
    <row r="17" spans="1:6" ht="15">
      <c r="A17" s="18" t="s">
        <v>11</v>
      </c>
      <c r="B17" s="18" t="s">
        <v>34</v>
      </c>
      <c r="C17" s="14"/>
      <c r="D17" s="14"/>
      <c r="E17" s="14"/>
      <c r="F17" s="14"/>
    </row>
    <row r="18" spans="1:6" ht="15">
      <c r="A18" s="14"/>
      <c r="B18" s="14" t="s">
        <v>31</v>
      </c>
      <c r="C18" s="15">
        <f>1.013</f>
        <v>1.013</v>
      </c>
      <c r="D18" s="14"/>
      <c r="E18" s="14"/>
      <c r="F18" s="14"/>
    </row>
    <row r="19" spans="1:6" ht="15">
      <c r="A19" s="14"/>
      <c r="B19" s="14" t="s">
        <v>32</v>
      </c>
      <c r="C19" s="15">
        <v>293.15</v>
      </c>
      <c r="D19" s="14"/>
      <c r="E19" s="14"/>
      <c r="F19" s="14"/>
    </row>
    <row r="20" spans="1:6" ht="15">
      <c r="A20" s="18" t="s">
        <v>12</v>
      </c>
      <c r="B20" s="18" t="s">
        <v>35</v>
      </c>
      <c r="C20" s="19"/>
      <c r="D20" s="14"/>
      <c r="E20" s="14"/>
      <c r="F20" s="14"/>
    </row>
    <row r="21" spans="1:6" ht="15">
      <c r="A21" s="14"/>
      <c r="B21" s="14" t="s">
        <v>33</v>
      </c>
      <c r="C21" s="15">
        <f>4</f>
        <v>4</v>
      </c>
      <c r="D21" s="14"/>
      <c r="E21" s="14"/>
      <c r="F21" s="14"/>
    </row>
    <row r="22" spans="1:6" ht="15">
      <c r="A22" s="18" t="s">
        <v>13</v>
      </c>
      <c r="B22" s="18" t="s">
        <v>37</v>
      </c>
      <c r="C22" s="15"/>
      <c r="D22" s="14"/>
      <c r="E22" s="14"/>
      <c r="F22" s="14"/>
    </row>
    <row r="23" spans="1:6" ht="15">
      <c r="A23" s="14"/>
      <c r="B23" s="14" t="s">
        <v>36</v>
      </c>
      <c r="C23" s="15">
        <v>798.15</v>
      </c>
      <c r="D23" s="14"/>
      <c r="E23" s="14"/>
      <c r="F23" s="14"/>
    </row>
    <row r="24" spans="1:6" ht="15">
      <c r="A24" s="18" t="s">
        <v>14</v>
      </c>
      <c r="B24" s="18" t="s">
        <v>38</v>
      </c>
      <c r="C24" s="15"/>
      <c r="D24" s="14"/>
      <c r="E24" s="14"/>
      <c r="F24" s="14"/>
    </row>
    <row r="25" spans="1:6" ht="15">
      <c r="A25" s="14"/>
      <c r="B25" s="14" t="s">
        <v>39</v>
      </c>
      <c r="C25" s="15">
        <f>1.013</f>
        <v>1.013</v>
      </c>
      <c r="D25" s="14"/>
      <c r="E25" s="14"/>
      <c r="F25" s="14"/>
    </row>
    <row r="26" spans="1:6" ht="15">
      <c r="A26" s="13" t="s">
        <v>15</v>
      </c>
      <c r="B26" s="14"/>
      <c r="C26" s="15"/>
      <c r="D26" s="14"/>
      <c r="E26" s="14"/>
      <c r="F26" s="14"/>
    </row>
    <row r="27" spans="1:6" ht="15">
      <c r="A27" s="14"/>
      <c r="B27" s="14"/>
      <c r="C27" s="15"/>
      <c r="D27" s="14"/>
      <c r="E27" s="14"/>
      <c r="F27" s="14"/>
    </row>
    <row r="28" spans="1:6" ht="15.75">
      <c r="A28" s="14" t="s">
        <v>17</v>
      </c>
      <c r="B28" s="14" t="s">
        <v>68</v>
      </c>
      <c r="C28" s="15">
        <v>0.65</v>
      </c>
      <c r="D28" s="14"/>
      <c r="E28" s="14"/>
      <c r="F28" s="14"/>
    </row>
    <row r="29" spans="1:6" ht="15.75">
      <c r="A29" s="14" t="s">
        <v>16</v>
      </c>
      <c r="B29" s="14" t="s">
        <v>69</v>
      </c>
      <c r="C29" s="15">
        <v>0.85</v>
      </c>
      <c r="D29" s="14"/>
      <c r="E29" s="14"/>
      <c r="F29" s="14"/>
    </row>
    <row r="30" spans="1:3" ht="15.75">
      <c r="A30" s="51" t="s">
        <v>75</v>
      </c>
      <c r="B30" s="50"/>
      <c r="C30" s="2"/>
    </row>
    <row r="31" ht="15">
      <c r="A31" s="12" t="s">
        <v>62</v>
      </c>
    </row>
    <row r="32" spans="1:6" ht="15">
      <c r="A32" s="20" t="s">
        <v>18</v>
      </c>
      <c r="B32" s="20" t="s">
        <v>19</v>
      </c>
      <c r="C32" s="20" t="s">
        <v>30</v>
      </c>
      <c r="D32" s="20" t="s">
        <v>48</v>
      </c>
      <c r="E32" s="20" t="s">
        <v>56</v>
      </c>
      <c r="F32" s="21" t="s">
        <v>66</v>
      </c>
    </row>
    <row r="33" spans="1:6" ht="15">
      <c r="A33" s="20">
        <v>1</v>
      </c>
      <c r="B33" s="22">
        <f>p_in_comp</f>
        <v>1.013</v>
      </c>
      <c r="C33" s="22">
        <f>T_in_comp</f>
        <v>293.15</v>
      </c>
      <c r="D33" s="22">
        <f>_XLL.ENTROPY(Fluid,"PT",p_1,T_1-273.15)</f>
        <v>6.8418107413291445</v>
      </c>
      <c r="E33" s="22">
        <f>_XLL.ENTHALPY(Fluid,"PT",p_1,T_1-273.15)</f>
        <v>-5.029600370174433</v>
      </c>
      <c r="F33" s="22">
        <f>_XLL.HEATCAPP(Fluid,"PT",p_1,T_1-273.15)</f>
        <v>1.0038712933935632</v>
      </c>
    </row>
    <row r="34" spans="1:6" ht="15">
      <c r="A34" s="20" t="s">
        <v>20</v>
      </c>
      <c r="B34" s="22">
        <f>p_out_comp</f>
        <v>4</v>
      </c>
      <c r="C34" s="22">
        <f>T_1*(p_2_is/p_1)^((gamma-1)/gamma)</f>
        <v>434.0146010518821</v>
      </c>
      <c r="D34" s="22">
        <f>_XLL.ENTROPY(Fluid,"PT",p_2_is,T_2_is-273.15)</f>
        <v>6.843595758197154</v>
      </c>
      <c r="E34" s="22">
        <f>_XLL.ENTHALPY(Fluid,"PT",p_2_is,T_2_is-273.15)</f>
        <v>137.1734979408405</v>
      </c>
      <c r="F34" s="22">
        <f>_XLL.HEATCAPP(Fluid,"PT",p_2_is,T_2_is-273.15)</f>
        <v>1.017844093380229</v>
      </c>
    </row>
    <row r="35" spans="1:6" ht="15">
      <c r="A35" s="20" t="s">
        <v>70</v>
      </c>
      <c r="B35" s="22">
        <f>p_2_is</f>
        <v>4</v>
      </c>
      <c r="C35" s="22">
        <f>_XLL.TEMPERATURE(Fluid,"Ps",p_2_is_GM,s_2_is_GM)+273.15</f>
        <v>433.25408317944414</v>
      </c>
      <c r="D35" s="22">
        <f>s_1</f>
        <v>6.8418107413291445</v>
      </c>
      <c r="E35" s="22">
        <f>_XLL.ENTHALPY(Fluid,"PT",p_2_is_GM,T_2_is_GM-273.15)</f>
        <v>136.3994534231235</v>
      </c>
      <c r="F35" s="23"/>
    </row>
    <row r="36" spans="1:6" ht="15">
      <c r="A36" s="24"/>
      <c r="B36" s="25"/>
      <c r="C36" s="26"/>
      <c r="D36" s="22"/>
      <c r="E36" s="25"/>
      <c r="F36" s="23"/>
    </row>
    <row r="37" spans="1:10" ht="15">
      <c r="A37" s="23"/>
      <c r="B37" s="23"/>
      <c r="C37" s="26"/>
      <c r="D37" s="22"/>
      <c r="E37" s="21" t="s">
        <v>72</v>
      </c>
      <c r="F37" s="22">
        <f>(c_p_2_is+c_p_1)/2</f>
        <v>1.010857693386896</v>
      </c>
      <c r="J37" s="4"/>
    </row>
    <row r="38" spans="1:10" ht="15">
      <c r="A38" s="23"/>
      <c r="B38" s="23"/>
      <c r="C38" s="26"/>
      <c r="D38" s="22"/>
      <c r="E38" s="27"/>
      <c r="F38" s="27"/>
      <c r="J38" s="4"/>
    </row>
    <row r="39" spans="1:10" ht="15.75">
      <c r="A39" s="23"/>
      <c r="B39" s="23"/>
      <c r="C39" s="47" t="s">
        <v>65</v>
      </c>
      <c r="D39" s="28" t="s">
        <v>40</v>
      </c>
      <c r="E39" s="25"/>
      <c r="F39" s="22"/>
      <c r="H39" s="1"/>
      <c r="I39" s="1"/>
      <c r="J39" s="4"/>
    </row>
    <row r="40" spans="1:10" ht="15">
      <c r="A40" s="23"/>
      <c r="B40" s="20" t="s">
        <v>73</v>
      </c>
      <c r="C40" s="22">
        <f>h_2_is-h_1</f>
        <v>142.2030983110149</v>
      </c>
      <c r="D40" s="22">
        <f>h_2_is_GM-h_1</f>
        <v>141.42905379329792</v>
      </c>
      <c r="E40" s="23"/>
      <c r="F40" s="27"/>
      <c r="I40" s="5"/>
      <c r="J40" s="4"/>
    </row>
    <row r="41" spans="1:6" ht="15">
      <c r="A41" s="23"/>
      <c r="B41" s="20" t="s">
        <v>74</v>
      </c>
      <c r="C41" s="22">
        <f>is_work_comp/eta_is_comp</f>
        <v>218.7739974015614</v>
      </c>
      <c r="D41" s="22">
        <f>is_work_comp_GM/eta_is_comp</f>
        <v>217.5831596819968</v>
      </c>
      <c r="E41" s="23"/>
      <c r="F41" s="23"/>
    </row>
    <row r="42" spans="1:6" ht="15">
      <c r="A42" s="21"/>
      <c r="B42" s="23"/>
      <c r="C42" s="29"/>
      <c r="D42" s="30"/>
      <c r="E42" s="23"/>
      <c r="F42" s="23"/>
    </row>
    <row r="43" spans="1:6" ht="15">
      <c r="A43" s="20">
        <v>2</v>
      </c>
      <c r="B43" s="22">
        <f>p_2_is</f>
        <v>4</v>
      </c>
      <c r="C43" s="22">
        <f>T_1+(real_work_comp/c_p_AV_compression)</f>
        <v>509.57413055051825</v>
      </c>
      <c r="D43" s="22">
        <f>_XLL.ENTROPY(Fluid,"PT",p_2,T_2-273.15)</f>
        <v>7.007945073898231</v>
      </c>
      <c r="E43" s="22">
        <f>h_1+real_work_comp</f>
        <v>213.74439703138697</v>
      </c>
      <c r="F43" s="23"/>
    </row>
    <row r="44" spans="1:6" ht="15">
      <c r="A44" s="20" t="s">
        <v>41</v>
      </c>
      <c r="B44" s="22">
        <f>p_2_is</f>
        <v>4</v>
      </c>
      <c r="C44" s="22">
        <f>_XLL.TEMPERATURE(Fluid,"Ph",p_2_GM,h_2_GM)+273.15</f>
        <v>507.62783844173674</v>
      </c>
      <c r="D44" s="22">
        <f>_XLL.ENTROPY(Fluid,"PT",p_2_GM,T_2_GM-273.15)</f>
        <v>7.0040002774232395</v>
      </c>
      <c r="E44" s="22">
        <f>h_1+real_work_comp_GM</f>
        <v>212.55355931182237</v>
      </c>
      <c r="F44" s="23"/>
    </row>
    <row r="45" spans="1:5" ht="15">
      <c r="A45" s="2"/>
      <c r="B45" s="3"/>
      <c r="C45" s="5"/>
      <c r="D45" s="4"/>
      <c r="E45" s="1"/>
    </row>
    <row r="46" spans="1:5" ht="15">
      <c r="A46" s="12" t="s">
        <v>63</v>
      </c>
      <c r="B46" s="2"/>
      <c r="C46" s="2"/>
      <c r="E46" s="1"/>
    </row>
    <row r="47" spans="1:9" ht="15.75">
      <c r="A47" s="23"/>
      <c r="B47" s="23"/>
      <c r="C47" s="47" t="s">
        <v>65</v>
      </c>
      <c r="D47" s="28" t="s">
        <v>40</v>
      </c>
      <c r="E47" s="23"/>
      <c r="F47" s="23"/>
      <c r="H47" s="1"/>
      <c r="I47" s="6"/>
    </row>
    <row r="48" spans="1:6" ht="15">
      <c r="A48" s="23"/>
      <c r="B48" s="20" t="s">
        <v>58</v>
      </c>
      <c r="C48" s="22">
        <f>h_3-h_2</f>
        <v>307.6308271418827</v>
      </c>
      <c r="D48" s="22">
        <f>h_3-h_2_GM</f>
        <v>308.8216648614473</v>
      </c>
      <c r="E48" s="23"/>
      <c r="F48" s="23"/>
    </row>
    <row r="49" spans="1:6" ht="15">
      <c r="A49" s="31"/>
      <c r="B49" s="31"/>
      <c r="C49" s="31"/>
      <c r="D49" s="31"/>
      <c r="E49" s="31"/>
      <c r="F49" s="31"/>
    </row>
    <row r="50" spans="1:7" ht="15">
      <c r="A50" s="12" t="s">
        <v>64</v>
      </c>
      <c r="B50" s="31"/>
      <c r="C50" s="31"/>
      <c r="D50" s="31"/>
      <c r="E50" s="31"/>
      <c r="F50" s="31"/>
      <c r="G50" s="4"/>
    </row>
    <row r="51" spans="1:7" ht="15">
      <c r="A51" s="20" t="s">
        <v>18</v>
      </c>
      <c r="B51" s="20" t="s">
        <v>19</v>
      </c>
      <c r="C51" s="20" t="s">
        <v>30</v>
      </c>
      <c r="D51" s="20" t="s">
        <v>49</v>
      </c>
      <c r="E51" s="20" t="s">
        <v>56</v>
      </c>
      <c r="F51" s="20" t="s">
        <v>66</v>
      </c>
      <c r="G51" s="4"/>
    </row>
    <row r="52" spans="1:6" ht="15">
      <c r="A52" s="20">
        <v>3</v>
      </c>
      <c r="B52" s="22">
        <f>p_2_is</f>
        <v>4</v>
      </c>
      <c r="C52" s="22">
        <f>T_in_turb</f>
        <v>798.15</v>
      </c>
      <c r="D52" s="22">
        <f>_XLL.ENTROPY(Fluid,"PT",p_3,T_3-273.15)</f>
        <v>7.483906877590238</v>
      </c>
      <c r="E52" s="22">
        <f>_XLL.ENTHALPY(Fluid,"PT",p_3,T_3-273.15)</f>
        <v>521.3752241732697</v>
      </c>
      <c r="F52" s="22">
        <f>_XLL.HEATCAPP(Fluid,"PT",p_3,T_3-273.15)</f>
        <v>1.0974272663965217</v>
      </c>
    </row>
    <row r="53" spans="1:6" ht="15">
      <c r="A53" s="20" t="s">
        <v>21</v>
      </c>
      <c r="B53" s="22">
        <f>p_1</f>
        <v>1.013</v>
      </c>
      <c r="C53" s="22">
        <f>T_3*(p_3/p_4_is)^((1-gamma)/gamma)</f>
        <v>539.1009241000864</v>
      </c>
      <c r="D53" s="22">
        <f>_XLL.ENTROPY(Fluid,"PT",p_4_is,T_4_is-273.15)</f>
        <v>7.4603436898072575</v>
      </c>
      <c r="E53" s="22">
        <f>_XLL.ENTHALPY(Fluid,"PT",p_4_is,T_4_is-273.15)</f>
        <v>245.08952903257534</v>
      </c>
      <c r="F53" s="22">
        <f>_XLL.HEATCAPP(Fluid,"PT",p_4_is,T_4_is-273.15)</f>
        <v>1.0369565253928856</v>
      </c>
    </row>
    <row r="54" spans="1:6" ht="15">
      <c r="A54" s="20" t="s">
        <v>42</v>
      </c>
      <c r="B54" s="22">
        <f>p_1</f>
        <v>1.013</v>
      </c>
      <c r="C54" s="22">
        <f>_XLL.TEMPERATURE(Fluid,"Ps",p_4_is_GM,s_4_is_GM)+273.15</f>
        <v>551.4758815579862</v>
      </c>
      <c r="D54" s="22">
        <f>s_3</f>
        <v>7.483906877590238</v>
      </c>
      <c r="E54" s="22">
        <f>_XLL.ENTHALPY(Fluid,"PT",p_4_is_GM,T_4_is_GM-273.15)</f>
        <v>257.93777113982935</v>
      </c>
      <c r="F54" s="25"/>
    </row>
    <row r="55" spans="1:6" ht="15">
      <c r="A55" s="20"/>
      <c r="B55" s="23"/>
      <c r="C55" s="26"/>
      <c r="D55" s="22"/>
      <c r="E55" s="25"/>
      <c r="F55" s="25"/>
    </row>
    <row r="56" spans="1:6" ht="15">
      <c r="A56" s="20"/>
      <c r="B56" s="24"/>
      <c r="C56" s="24"/>
      <c r="D56" s="24"/>
      <c r="E56" s="21" t="s">
        <v>72</v>
      </c>
      <c r="F56" s="22">
        <f>(c_p_4_is+c_p_3)/2</f>
        <v>1.0671918958947035</v>
      </c>
    </row>
    <row r="57" spans="1:6" ht="15">
      <c r="A57" s="20"/>
      <c r="B57" s="24"/>
      <c r="C57" s="24"/>
      <c r="D57" s="24"/>
      <c r="E57" s="32"/>
      <c r="F57" s="32"/>
    </row>
    <row r="58" spans="1:6" ht="15.75">
      <c r="A58" s="20"/>
      <c r="B58" s="20"/>
      <c r="C58" s="47" t="s">
        <v>65</v>
      </c>
      <c r="D58" s="28" t="s">
        <v>40</v>
      </c>
      <c r="E58" s="23"/>
      <c r="F58" s="32"/>
    </row>
    <row r="59" spans="1:7" ht="15">
      <c r="A59" s="20"/>
      <c r="B59" s="20" t="s">
        <v>59</v>
      </c>
      <c r="C59" s="22">
        <f>h_3-h_4_is</f>
        <v>276.2856951406943</v>
      </c>
      <c r="D59" s="22">
        <f>h_3-h_4_is_GM</f>
        <v>263.4374530334403</v>
      </c>
      <c r="E59" s="24"/>
      <c r="F59" s="22"/>
      <c r="G59" s="7"/>
    </row>
    <row r="60" spans="1:7" ht="15">
      <c r="A60" s="20"/>
      <c r="B60" s="20" t="s">
        <v>60</v>
      </c>
      <c r="C60" s="22">
        <f>is_work_turb*eta_is_turb</f>
        <v>234.84284086959016</v>
      </c>
      <c r="D60" s="22">
        <f>is_work_turb_GM*eta_is_turb</f>
        <v>223.92183507842427</v>
      </c>
      <c r="E60" s="24"/>
      <c r="F60" s="27"/>
      <c r="G60" s="7"/>
    </row>
    <row r="61" spans="1:6" ht="15">
      <c r="A61" s="20"/>
      <c r="B61" s="24"/>
      <c r="C61" s="24"/>
      <c r="D61" s="24"/>
      <c r="E61" s="24"/>
      <c r="F61" s="23"/>
    </row>
    <row r="62" spans="1:6" ht="15">
      <c r="A62" s="20">
        <v>4</v>
      </c>
      <c r="B62" s="22">
        <f>p_1</f>
        <v>1.013</v>
      </c>
      <c r="C62" s="22">
        <f>T_3-(real_work_turb/c_p_av_expansion)</f>
        <v>578.093193184854</v>
      </c>
      <c r="D62" s="22">
        <f>_XLL.ENTROPY(Fluid,"PT",p_4,T_4-273.15)</f>
        <v>7.533041321265506</v>
      </c>
      <c r="E62" s="22">
        <f>h_3-real_work_turb</f>
        <v>286.53238330367947</v>
      </c>
      <c r="F62" s="23"/>
    </row>
    <row r="63" spans="1:6" ht="15">
      <c r="A63" s="20" t="s">
        <v>43</v>
      </c>
      <c r="B63" s="22">
        <f>p_1</f>
        <v>1.013</v>
      </c>
      <c r="C63" s="22">
        <f>_XLL.TEMPERATURE(Fluid,"Ph",p_4_GM,h_3-real_work_turb_GM)+273.15</f>
        <v>589.3395996693703</v>
      </c>
      <c r="D63" s="22">
        <f>_XLL.ENTROPY(Fluid,"PT",p_4_GM,T_4_GM-273.15)</f>
        <v>7.553205392335613</v>
      </c>
      <c r="E63" s="22">
        <f>_XLL.ENTHALPY(Fluid,"PT",p_4_GM,T_4_GM-273.15)</f>
        <v>297.4533889979427</v>
      </c>
      <c r="F63" s="23"/>
    </row>
    <row r="64" spans="1:6" ht="15">
      <c r="A64" s="33"/>
      <c r="B64" s="33"/>
      <c r="C64" s="33"/>
      <c r="D64" s="33"/>
      <c r="E64" s="33"/>
      <c r="F64" s="33"/>
    </row>
    <row r="65" spans="1:6" ht="15">
      <c r="A65" s="12" t="s">
        <v>71</v>
      </c>
      <c r="B65" s="33"/>
      <c r="C65" s="33"/>
      <c r="D65" s="33"/>
      <c r="E65" s="33"/>
      <c r="F65" s="33"/>
    </row>
    <row r="66" spans="1:6" ht="15.75">
      <c r="A66" s="23"/>
      <c r="B66" s="23"/>
      <c r="C66" s="47" t="s">
        <v>65</v>
      </c>
      <c r="D66" s="28" t="s">
        <v>40</v>
      </c>
      <c r="E66" s="23"/>
      <c r="F66" s="23"/>
    </row>
    <row r="67" spans="1:6" ht="15">
      <c r="A67" s="23"/>
      <c r="B67" s="20" t="s">
        <v>61</v>
      </c>
      <c r="C67" s="22">
        <f>h_4-h_1</f>
        <v>291.5619836738539</v>
      </c>
      <c r="D67" s="22">
        <f>h_4_GM-h_1</f>
        <v>302.4829893681171</v>
      </c>
      <c r="E67" s="23"/>
      <c r="F67" s="23"/>
    </row>
    <row r="69" ht="15.75" thickBot="1"/>
    <row r="70" spans="1:4" ht="16.5" thickBot="1">
      <c r="A70" s="33"/>
      <c r="B70" s="34"/>
      <c r="C70" s="48" t="s">
        <v>65</v>
      </c>
      <c r="D70" s="35" t="s">
        <v>40</v>
      </c>
    </row>
    <row r="71" spans="1:4" ht="15">
      <c r="A71" s="36" t="s">
        <v>46</v>
      </c>
      <c r="B71" s="37"/>
      <c r="C71" s="37">
        <f>real_work_turb-real_work_comp</f>
        <v>16.068843468028774</v>
      </c>
      <c r="D71" s="38">
        <f>real_work_turb_GM-real_work_comp_GM</f>
        <v>6.338675396427476</v>
      </c>
    </row>
    <row r="72" spans="1:4" ht="8.25" customHeight="1">
      <c r="A72" s="39"/>
      <c r="B72" s="40"/>
      <c r="C72" s="41"/>
      <c r="D72" s="42"/>
    </row>
    <row r="73" spans="1:4" ht="15">
      <c r="A73" s="39" t="s">
        <v>27</v>
      </c>
      <c r="B73" s="40"/>
      <c r="C73" s="40">
        <f>w_net/Q_in</f>
        <v>0.05223417827569552</v>
      </c>
      <c r="D73" s="43">
        <f>w_net_GM/Q_in_GM</f>
        <v>0.020525358540733597</v>
      </c>
    </row>
    <row r="74" spans="1:4" ht="9.75" customHeight="1">
      <c r="A74" s="39"/>
      <c r="B74" s="40"/>
      <c r="C74" s="40"/>
      <c r="D74" s="42"/>
    </row>
    <row r="75" spans="1:4" ht="15">
      <c r="A75" s="39" t="s">
        <v>28</v>
      </c>
      <c r="B75" s="40"/>
      <c r="C75" s="40">
        <f>1-((T_1)/(T_3))</f>
        <v>0.6327131491574265</v>
      </c>
      <c r="D75" s="43"/>
    </row>
    <row r="76" spans="1:4" ht="10.5" customHeight="1">
      <c r="A76" s="39"/>
      <c r="B76" s="40"/>
      <c r="C76" s="40"/>
      <c r="D76" s="43"/>
    </row>
    <row r="77" spans="1:4" ht="15.75" thickBot="1">
      <c r="A77" s="44" t="s">
        <v>29</v>
      </c>
      <c r="B77" s="45"/>
      <c r="C77" s="45">
        <f>eta_I/eta_Carnot</f>
        <v>0.08255586017969581</v>
      </c>
      <c r="D77" s="46">
        <f>eta_I_GM/eta_Carnot</f>
        <v>0.03244022756294361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83"/>
  <sheetViews>
    <sheetView showGridLines="0" zoomScalePageLayoutView="0" workbookViewId="0" topLeftCell="A1">
      <selection activeCell="H3" sqref="H3"/>
    </sheetView>
  </sheetViews>
  <sheetFormatPr defaultColWidth="9.140625" defaultRowHeight="15"/>
  <cols>
    <col min="2" max="2" width="11.7109375" style="0" bestFit="1" customWidth="1"/>
    <col min="4" max="4" width="15.00390625" style="0" bestFit="1" customWidth="1"/>
    <col min="7" max="7" width="9.57421875" style="0" bestFit="1" customWidth="1"/>
    <col min="8" max="8" width="9.00390625" style="0" customWidth="1"/>
    <col min="9" max="9" width="2.00390625" style="0" customWidth="1"/>
    <col min="10" max="10" width="9.7109375" style="0" customWidth="1"/>
    <col min="11" max="11" width="10.7109375" style="0" customWidth="1"/>
    <col min="12" max="12" width="2.421875" style="0" customWidth="1"/>
    <col min="15" max="15" width="9.00390625" style="0" customWidth="1"/>
    <col min="16" max="16" width="2.28125" style="0" customWidth="1"/>
    <col min="22" max="23" width="9.28125" style="0" bestFit="1" customWidth="1"/>
    <col min="24" max="24" width="9.57421875" style="0" bestFit="1" customWidth="1"/>
  </cols>
  <sheetData>
    <row r="1" spans="2:27" ht="15">
      <c r="B1" s="52" t="s">
        <v>22</v>
      </c>
      <c r="C1" s="50"/>
      <c r="D1" s="50"/>
      <c r="E1" s="50"/>
      <c r="F1" s="50"/>
      <c r="G1" s="52" t="s">
        <v>25</v>
      </c>
      <c r="H1" s="50"/>
      <c r="I1" s="50"/>
      <c r="J1" s="52" t="s">
        <v>26</v>
      </c>
      <c r="K1" s="52"/>
      <c r="L1" s="50"/>
      <c r="M1" s="52" t="s">
        <v>54</v>
      </c>
      <c r="N1" s="50"/>
      <c r="O1" s="50"/>
      <c r="P1" s="50"/>
      <c r="Q1" s="52" t="s">
        <v>53</v>
      </c>
      <c r="R1" s="50"/>
      <c r="S1" s="50"/>
      <c r="T1" s="50"/>
      <c r="U1" s="52" t="s">
        <v>23</v>
      </c>
      <c r="V1" s="50"/>
      <c r="W1" s="50"/>
      <c r="X1" s="50"/>
      <c r="Y1" s="50"/>
      <c r="Z1" s="52" t="s">
        <v>44</v>
      </c>
      <c r="AA1" s="50"/>
    </row>
    <row r="2" spans="13:29" ht="15">
      <c r="M2" s="9" t="s">
        <v>18</v>
      </c>
      <c r="N2" s="9" t="s">
        <v>47</v>
      </c>
      <c r="O2" s="9" t="s">
        <v>49</v>
      </c>
      <c r="P2" s="9"/>
      <c r="Q2" s="9" t="s">
        <v>18</v>
      </c>
      <c r="R2" s="9" t="s">
        <v>47</v>
      </c>
      <c r="S2" s="9" t="s">
        <v>49</v>
      </c>
      <c r="T2" s="9"/>
      <c r="U2" s="9" t="s">
        <v>18</v>
      </c>
      <c r="V2" s="9" t="s">
        <v>47</v>
      </c>
      <c r="W2" s="9" t="s">
        <v>49</v>
      </c>
      <c r="X2" s="9" t="s">
        <v>30</v>
      </c>
      <c r="Y2" s="9"/>
      <c r="Z2" s="9" t="s">
        <v>18</v>
      </c>
      <c r="AA2" s="9" t="s">
        <v>47</v>
      </c>
      <c r="AB2" s="9" t="s">
        <v>49</v>
      </c>
      <c r="AC2" s="9" t="s">
        <v>30</v>
      </c>
    </row>
    <row r="3" spans="13:29" ht="15">
      <c r="M3" s="2">
        <v>1</v>
      </c>
      <c r="N3" s="4">
        <f>'simple Brayton Cycle'!B33</f>
        <v>1.013</v>
      </c>
      <c r="O3" s="4">
        <f>'simple Brayton Cycle'!D33</f>
        <v>6.8418107413291445</v>
      </c>
      <c r="P3" s="2"/>
      <c r="Q3" s="2">
        <v>3</v>
      </c>
      <c r="R3" s="4">
        <f>'simple Brayton Cycle'!$B$52</f>
        <v>4</v>
      </c>
      <c r="S3" s="4">
        <f>'simple Brayton Cycle'!$D$52</f>
        <v>7.483906877590238</v>
      </c>
      <c r="U3">
        <v>1</v>
      </c>
      <c r="V3" s="4">
        <f>N3</f>
        <v>1.013</v>
      </c>
      <c r="W3" s="4">
        <f>O3</f>
        <v>6.8418107413291445</v>
      </c>
      <c r="X3" s="4">
        <f>'simple Brayton Cycle'!C33</f>
        <v>293.15</v>
      </c>
      <c r="Z3" s="2">
        <v>3</v>
      </c>
      <c r="AA3" s="4">
        <f>'simple Brayton Cycle'!B52</f>
        <v>4</v>
      </c>
      <c r="AB3" s="4">
        <f>'simple Brayton Cycle'!D52</f>
        <v>7.483906877590238</v>
      </c>
      <c r="AC3" s="4">
        <f>'simple Brayton Cycle'!C52</f>
        <v>798.15</v>
      </c>
    </row>
    <row r="4" spans="2:29" ht="18">
      <c r="B4" s="11" t="s">
        <v>50</v>
      </c>
      <c r="C4" s="2">
        <v>20</v>
      </c>
      <c r="M4" s="2" t="s">
        <v>20</v>
      </c>
      <c r="N4" s="4">
        <f>'simple Brayton Cycle'!B35</f>
        <v>4</v>
      </c>
      <c r="O4" s="4">
        <f>'simple Brayton Cycle'!D35</f>
        <v>6.8418107413291445</v>
      </c>
      <c r="P4" s="2"/>
      <c r="Q4" s="2" t="s">
        <v>21</v>
      </c>
      <c r="R4" s="4">
        <f>'simple Brayton Cycle'!$B$54</f>
        <v>1.013</v>
      </c>
      <c r="S4" s="4">
        <f>'simple Brayton Cycle'!$D$54</f>
        <v>7.483906877590238</v>
      </c>
      <c r="U4">
        <v>2</v>
      </c>
      <c r="V4" s="4">
        <f>'simple Brayton Cycle'!$B$43</f>
        <v>4</v>
      </c>
      <c r="W4" s="4">
        <f>'simple Brayton Cycle'!$D$44</f>
        <v>7.0040002774232395</v>
      </c>
      <c r="X4" s="4">
        <f>'simple Brayton Cycle'!C44</f>
        <v>507.62783844173674</v>
      </c>
      <c r="Z4" s="2">
        <v>4</v>
      </c>
      <c r="AA4" s="4">
        <f>'simple Brayton Cycle'!B62</f>
        <v>1.013</v>
      </c>
      <c r="AB4" s="4">
        <f>'simple Brayton Cycle'!D63</f>
        <v>7.553205392335613</v>
      </c>
      <c r="AC4" s="4">
        <f>'simple Brayton Cycle'!C63</f>
        <v>589.3395996693703</v>
      </c>
    </row>
    <row r="5" spans="2:5" ht="18">
      <c r="B5" s="11" t="s">
        <v>51</v>
      </c>
      <c r="C5" s="2">
        <f>'simple Brayton Cycle'!p_in_comp</f>
        <v>1.013</v>
      </c>
      <c r="D5" s="11" t="s">
        <v>52</v>
      </c>
      <c r="E5" s="2">
        <f>'simple Brayton Cycle'!p_out_comp</f>
        <v>4</v>
      </c>
    </row>
    <row r="6" spans="22:28" ht="15">
      <c r="V6" t="s">
        <v>24</v>
      </c>
      <c r="W6">
        <f>(X4-X3)/(W4-W3)</f>
        <v>1322.390109786777</v>
      </c>
      <c r="AA6" t="s">
        <v>24</v>
      </c>
      <c r="AB6">
        <f>(AC4-AC3)/(AB4-AB3)</f>
        <v>-3013.2016695865123</v>
      </c>
    </row>
    <row r="7" spans="2:27" ht="15">
      <c r="B7" t="s">
        <v>8</v>
      </c>
      <c r="C7" t="s">
        <v>9</v>
      </c>
      <c r="E7" t="s">
        <v>9</v>
      </c>
      <c r="G7" t="s">
        <v>9</v>
      </c>
      <c r="H7" t="s">
        <v>8</v>
      </c>
      <c r="J7" t="s">
        <v>9</v>
      </c>
      <c r="K7" t="s">
        <v>8</v>
      </c>
      <c r="M7" t="s">
        <v>55</v>
      </c>
      <c r="N7" t="s">
        <v>9</v>
      </c>
      <c r="O7" t="s">
        <v>8</v>
      </c>
      <c r="Q7" t="s">
        <v>55</v>
      </c>
      <c r="R7" t="s">
        <v>9</v>
      </c>
      <c r="S7" t="s">
        <v>8</v>
      </c>
      <c r="U7" t="s">
        <v>9</v>
      </c>
      <c r="V7" t="s">
        <v>8</v>
      </c>
      <c r="Z7" t="s">
        <v>9</v>
      </c>
      <c r="AA7" t="s">
        <v>8</v>
      </c>
    </row>
    <row r="8" spans="2:27" ht="15">
      <c r="B8">
        <v>250</v>
      </c>
      <c r="C8">
        <f>_XLL.ENTROPY('simple Brayton Cycle'!$A$10,"PT",'T-s diagr. data'!$C$5,'T-s diagr. data'!B8-273.15)</f>
        <v>6.682048377830171</v>
      </c>
      <c r="E8">
        <f>_XLL.ENTROPY('simple Brayton Cycle'!$A$10,"PT",'T-s diagr. data'!$E$5,'T-s diagr. data'!B8-273.15)</f>
        <v>6.287888765610585</v>
      </c>
      <c r="G8" s="1">
        <f>'simple Brayton Cycle'!$D$44</f>
        <v>7.0040002774232395</v>
      </c>
      <c r="H8" s="6">
        <f>_XLL.TEMPERATURE('simple Brayton Cycle'!$A$10,"Ps",'T-s diagr. data'!$E$5,'T-s diagr. data'!G8)+273.15</f>
        <v>507.62783844173816</v>
      </c>
      <c r="I8" s="6"/>
      <c r="J8" s="1">
        <f>'simple Brayton Cycle'!D63</f>
        <v>7.553205392335613</v>
      </c>
      <c r="K8" s="6">
        <f>_XLL.TEMPERATURE('simple Brayton Cycle'!$A$10,"Ps",'T-s diagr. data'!$C$5,'T-s diagr. data'!J8)+273.15</f>
        <v>589.3395996693741</v>
      </c>
      <c r="L8" s="6"/>
      <c r="M8">
        <f>N3</f>
        <v>1.013</v>
      </c>
      <c r="N8" s="6">
        <f>$O$4</f>
        <v>6.8418107413291445</v>
      </c>
      <c r="O8" s="1">
        <f>_XLL.TEMPERATURE('simple Brayton Cycle'!$A$10,"Ps",M8,N8)+273.15</f>
        <v>293.1499998168931</v>
      </c>
      <c r="Q8">
        <f>R3</f>
        <v>4</v>
      </c>
      <c r="R8" s="6">
        <f>$S$4</f>
        <v>7.483906877590238</v>
      </c>
      <c r="S8" s="1">
        <f>_XLL.TEMPERATURE('simple Brayton Cycle'!$A$10,"Ps",Q8,R8)+273.15</f>
        <v>798.1500000000444</v>
      </c>
      <c r="U8" s="6">
        <f>W3</f>
        <v>6.8418107413291445</v>
      </c>
      <c r="V8" s="6">
        <f>X3</f>
        <v>293.15</v>
      </c>
      <c r="Z8" s="6">
        <f>AB3</f>
        <v>7.483906877590238</v>
      </c>
      <c r="AA8" s="6">
        <f>AC3</f>
        <v>798.15</v>
      </c>
    </row>
    <row r="9" spans="2:27" ht="15">
      <c r="B9">
        <f>B8+2</f>
        <v>252</v>
      </c>
      <c r="C9">
        <f>_XLL.ENTROPY('simple Brayton Cycle'!$A$10,"PT",'T-s diagr. data'!$C$5,'T-s diagr. data'!B9-273.15)</f>
        <v>6.690042336573702</v>
      </c>
      <c r="E9">
        <f>_XLL.ENTROPY('simple Brayton Cycle'!$A$10,"PT",'T-s diagr. data'!$E$5,'T-s diagr. data'!B9-273.15)</f>
        <v>6.295882724354119</v>
      </c>
      <c r="G9" s="1">
        <f>G8+('simple Brayton Cycle'!$D$52-'simple Brayton Cycle'!$D$44)/100</f>
        <v>7.00879934342491</v>
      </c>
      <c r="H9" s="6">
        <f>_XLL.TEMPERATURE('simple Brayton Cycle'!$A$10,"Ps",'T-s diagr. data'!$E$5,'T-s diagr. data'!G9)+273.15</f>
        <v>509.9964996805737</v>
      </c>
      <c r="I9" s="6"/>
      <c r="J9" s="1">
        <f>J8-($J$8-'simple Brayton Cycle'!$D$33)/100</f>
        <v>7.546091445825549</v>
      </c>
      <c r="K9" s="6">
        <f>_XLL.TEMPERATURE('simple Brayton Cycle'!$A$10,"Ps",'T-s diagr. data'!$C$5,'T-s diagr. data'!J9)+273.15</f>
        <v>585.3501457642195</v>
      </c>
      <c r="L9" s="6"/>
      <c r="M9">
        <f>M8+($N$4-$N$3)/100</f>
        <v>1.04287</v>
      </c>
      <c r="N9" s="6">
        <f aca="true" t="shared" si="0" ref="N9:N72">$O$4</f>
        <v>6.8418107413291445</v>
      </c>
      <c r="O9" s="1">
        <f>_XLL.TEMPERATURE('simple Brayton Cycle'!$A$10,"Ps",M9,N9)+273.15</f>
        <v>295.59556524750474</v>
      </c>
      <c r="Q9">
        <f>Q8-($R$3-$R$4)/100</f>
        <v>3.97013</v>
      </c>
      <c r="R9" s="6">
        <f aca="true" t="shared" si="1" ref="R9:R72">$S$4</f>
        <v>7.483906877590238</v>
      </c>
      <c r="S9" s="1">
        <f>_XLL.TEMPERATURE('simple Brayton Cycle'!$A$10,"Ps",Q9,R9)+273.15</f>
        <v>796.5867066470502</v>
      </c>
      <c r="U9" s="8">
        <f aca="true" t="shared" si="2" ref="U9:U40">U8+($W$4-$W$3)/100</f>
        <v>6.8434326366900855</v>
      </c>
      <c r="V9">
        <f>V8+$W$6*(U9-U8)</f>
        <v>295.29477838441744</v>
      </c>
      <c r="Z9" s="8">
        <f>Z8+($AB$4-$AB$3)/100</f>
        <v>7.484599862737692</v>
      </c>
      <c r="AA9">
        <f>AA8+$AB$6*(Z9-Z8)</f>
        <v>796.0618959966923</v>
      </c>
    </row>
    <row r="10" spans="2:27" ht="15">
      <c r="B10">
        <f aca="true" t="shared" si="3" ref="B10:B73">B9+2</f>
        <v>254</v>
      </c>
      <c r="C10">
        <f>_XLL.ENTROPY('simple Brayton Cycle'!$A$10,"PT",'T-s diagr. data'!$C$5,'T-s diagr. data'!B10-273.15)</f>
        <v>6.6979729957822896</v>
      </c>
      <c r="E10">
        <f>_XLL.ENTROPY('simple Brayton Cycle'!$A$10,"PT",'T-s diagr. data'!$E$5,'T-s diagr. data'!B10-273.15)</f>
        <v>6.303813383562705</v>
      </c>
      <c r="G10" s="1">
        <f>G9+('simple Brayton Cycle'!$D$52-'simple Brayton Cycle'!$D$44)/100</f>
        <v>7.01359840942658</v>
      </c>
      <c r="H10" s="6">
        <f>_XLL.TEMPERATURE('simple Brayton Cycle'!$A$10,"Ps",'T-s diagr. data'!$E$5,'T-s diagr. data'!G10)+273.15</f>
        <v>512.3751465116591</v>
      </c>
      <c r="I10" s="6"/>
      <c r="J10" s="1">
        <f>J9-($J$8-'simple Brayton Cycle'!$D$33)/100</f>
        <v>7.538977499315484</v>
      </c>
      <c r="K10" s="6">
        <f>_XLL.TEMPERATURE('simple Brayton Cycle'!$A$10,"Ps",'T-s diagr. data'!$C$5,'T-s diagr. data'!J10)+273.15</f>
        <v>581.3843593262549</v>
      </c>
      <c r="L10" s="6"/>
      <c r="M10">
        <f aca="true" t="shared" si="4" ref="M10:M73">M9+($N$4-$N$3)/100</f>
        <v>1.07274</v>
      </c>
      <c r="N10" s="6">
        <f t="shared" si="0"/>
        <v>6.8418107413291445</v>
      </c>
      <c r="O10" s="1">
        <f>_XLL.TEMPERATURE('simple Brayton Cycle'!$A$10,"Ps",M10,N10)+273.15</f>
        <v>297.9913785199118</v>
      </c>
      <c r="Q10">
        <f aca="true" t="shared" si="5" ref="Q10:Q73">Q9-($R$3-$R$4)/100</f>
        <v>3.9402600000000003</v>
      </c>
      <c r="R10" s="6">
        <f t="shared" si="1"/>
        <v>7.483906877590238</v>
      </c>
      <c r="S10" s="1">
        <f>_XLL.TEMPERATURE('simple Brayton Cycle'!$A$10,"Ps",Q10,R10)+273.15</f>
        <v>795.0141700104668</v>
      </c>
      <c r="U10" s="8">
        <f t="shared" si="2"/>
        <v>6.8450545320510265</v>
      </c>
      <c r="V10">
        <f aca="true" t="shared" si="6" ref="V10:V73">V9+$W$6*(U10-U9)</f>
        <v>297.4395567688349</v>
      </c>
      <c r="Z10" s="8">
        <f aca="true" t="shared" si="7" ref="Z10:Z73">Z9+($AB$4-$AB$3)/100</f>
        <v>7.485292847885146</v>
      </c>
      <c r="AA10">
        <f aca="true" t="shared" si="8" ref="AA10:AA73">AA9+$AB$6*(Z10-Z9)</f>
        <v>793.9737919933847</v>
      </c>
    </row>
    <row r="11" spans="2:27" ht="15">
      <c r="B11">
        <f t="shared" si="3"/>
        <v>256</v>
      </c>
      <c r="C11">
        <f>_XLL.ENTROPY('simple Brayton Cycle'!$A$10,"PT",'T-s diagr. data'!$C$5,'T-s diagr. data'!B11-273.15)</f>
        <v>6.705841383490495</v>
      </c>
      <c r="E11">
        <f>_XLL.ENTROPY('simple Brayton Cycle'!$A$10,"PT",'T-s diagr. data'!$E$5,'T-s diagr. data'!B11-273.15)</f>
        <v>6.311681771270911</v>
      </c>
      <c r="G11" s="1">
        <f>G10+('simple Brayton Cycle'!$D$52-'simple Brayton Cycle'!$D$44)/100</f>
        <v>7.01839747542825</v>
      </c>
      <c r="H11" s="6">
        <f>_XLL.TEMPERATURE('simple Brayton Cycle'!$A$10,"Ps",'T-s diagr. data'!$E$5,'T-s diagr. data'!G11)+273.15</f>
        <v>514.7638060350432</v>
      </c>
      <c r="I11" s="6"/>
      <c r="J11" s="1">
        <f>J10-($J$8-'simple Brayton Cycle'!$D$33)/100</f>
        <v>7.53186355280542</v>
      </c>
      <c r="K11" s="6">
        <f>_XLL.TEMPERATURE('simple Brayton Cycle'!$A$10,"Ps",'T-s diagr. data'!$C$5,'T-s diagr. data'!J11)+273.15</f>
        <v>577.4421567944537</v>
      </c>
      <c r="L11" s="6"/>
      <c r="M11">
        <f t="shared" si="4"/>
        <v>1.10261</v>
      </c>
      <c r="N11" s="6">
        <f t="shared" si="0"/>
        <v>6.8418107413291445</v>
      </c>
      <c r="O11" s="1">
        <f>_XLL.TEMPERATURE('simple Brayton Cycle'!$A$10,"Ps",M11,N11)+273.15</f>
        <v>300.33977955885524</v>
      </c>
      <c r="Q11">
        <f t="shared" si="5"/>
        <v>3.9103900000000005</v>
      </c>
      <c r="R11" s="6">
        <f t="shared" si="1"/>
        <v>7.483906877590238</v>
      </c>
      <c r="S11" s="1">
        <f>_XLL.TEMPERATURE('simple Brayton Cycle'!$A$10,"Ps",Q11,R11)+273.15</f>
        <v>793.4322660539543</v>
      </c>
      <c r="U11" s="8">
        <f t="shared" si="2"/>
        <v>6.846676427411968</v>
      </c>
      <c r="V11">
        <f t="shared" si="6"/>
        <v>299.58433515325237</v>
      </c>
      <c r="Z11" s="8">
        <f t="shared" si="7"/>
        <v>7.485985833032601</v>
      </c>
      <c r="AA11">
        <f t="shared" si="8"/>
        <v>791.885687990077</v>
      </c>
    </row>
    <row r="12" spans="2:27" ht="15">
      <c r="B12">
        <f t="shared" si="3"/>
        <v>258</v>
      </c>
      <c r="C12">
        <f>_XLL.ENTROPY('simple Brayton Cycle'!$A$10,"PT",'T-s diagr. data'!$C$5,'T-s diagr. data'!B12-273.15)</f>
        <v>6.713648503556578</v>
      </c>
      <c r="E12">
        <f>_XLL.ENTROPY('simple Brayton Cycle'!$A$10,"PT",'T-s diagr. data'!$E$5,'T-s diagr. data'!B12-273.15)</f>
        <v>6.319488891336992</v>
      </c>
      <c r="G12" s="1">
        <f>G11+('simple Brayton Cycle'!$D$52-'simple Brayton Cycle'!$D$44)/100</f>
        <v>7.02319654142992</v>
      </c>
      <c r="H12" s="6">
        <f>_XLL.TEMPERATURE('simple Brayton Cycle'!$A$10,"Ps",'T-s diagr. data'!$E$5,'T-s diagr. data'!G12)+273.15</f>
        <v>517.162505293589</v>
      </c>
      <c r="I12" s="6"/>
      <c r="J12" s="1">
        <f>J11-($J$8-'simple Brayton Cycle'!$D$33)/100</f>
        <v>7.524749606295355</v>
      </c>
      <c r="K12" s="6">
        <f>_XLL.TEMPERATURE('simple Brayton Cycle'!$A$10,"Ps",'T-s diagr. data'!$C$5,'T-s diagr. data'!J12)+273.15</f>
        <v>573.5234544263355</v>
      </c>
      <c r="L12" s="6"/>
      <c r="M12">
        <f t="shared" si="4"/>
        <v>1.1324800000000002</v>
      </c>
      <c r="N12" s="6">
        <f t="shared" si="0"/>
        <v>6.8418107413291445</v>
      </c>
      <c r="O12" s="1">
        <f>_XLL.TEMPERATURE('simple Brayton Cycle'!$A$10,"Ps",M12,N12)+273.15</f>
        <v>302.6429379255467</v>
      </c>
      <c r="Q12">
        <f t="shared" si="5"/>
        <v>3.8805200000000006</v>
      </c>
      <c r="R12" s="6">
        <f t="shared" si="1"/>
        <v>7.483906877590238</v>
      </c>
      <c r="S12" s="1">
        <f>_XLL.TEMPERATURE('simple Brayton Cycle'!$A$10,"Ps",Q12,R12)+273.15</f>
        <v>791.840868133515</v>
      </c>
      <c r="U12" s="8">
        <f t="shared" si="2"/>
        <v>6.848298322772909</v>
      </c>
      <c r="V12">
        <f t="shared" si="6"/>
        <v>301.72911353766983</v>
      </c>
      <c r="Z12" s="8">
        <f t="shared" si="7"/>
        <v>7.486678818180055</v>
      </c>
      <c r="AA12">
        <f t="shared" si="8"/>
        <v>789.7975839867694</v>
      </c>
    </row>
    <row r="13" spans="2:27" ht="15">
      <c r="B13">
        <f t="shared" si="3"/>
        <v>260</v>
      </c>
      <c r="C13">
        <f>_XLL.ENTROPY('simple Brayton Cycle'!$A$10,"PT",'T-s diagr. data'!$C$5,'T-s diagr. data'!B13-273.15)</f>
        <v>6.721395336409499</v>
      </c>
      <c r="E13">
        <f>_XLL.ENTROPY('simple Brayton Cycle'!$A$10,"PT",'T-s diagr. data'!$E$5,'T-s diagr. data'!B13-273.15)</f>
        <v>6.327235724189915</v>
      </c>
      <c r="G13" s="1">
        <f>G12+('simple Brayton Cycle'!$D$52-'simple Brayton Cycle'!$D$44)/100</f>
        <v>7.02799560743159</v>
      </c>
      <c r="H13" s="6">
        <f>_XLL.TEMPERATURE('simple Brayton Cycle'!$A$10,"Ps",'T-s diagr. data'!$E$5,'T-s diagr. data'!G13)+273.15</f>
        <v>519.571271273003</v>
      </c>
      <c r="I13" s="6"/>
      <c r="J13" s="1">
        <f>J12-($J$8-'simple Brayton Cycle'!$D$33)/100</f>
        <v>7.517635659785291</v>
      </c>
      <c r="K13" s="6">
        <f>_XLL.TEMPERATURE('simple Brayton Cycle'!$A$10,"Ps",'T-s diagr. data'!$C$5,'T-s diagr. data'!J13)+273.15</f>
        <v>569.6281682873376</v>
      </c>
      <c r="L13" s="6"/>
      <c r="M13">
        <f t="shared" si="4"/>
        <v>1.1623500000000002</v>
      </c>
      <c r="N13" s="6">
        <f t="shared" si="0"/>
        <v>6.8418107413291445</v>
      </c>
      <c r="O13" s="1">
        <f>_XLL.TEMPERATURE('simple Brayton Cycle'!$A$10,"Ps",M13,N13)+273.15</f>
        <v>304.9028697744713</v>
      </c>
      <c r="Q13">
        <f t="shared" si="5"/>
        <v>3.850650000000001</v>
      </c>
      <c r="R13" s="6">
        <f t="shared" si="1"/>
        <v>7.483906877590238</v>
      </c>
      <c r="S13" s="1">
        <f>_XLL.TEMPERATURE('simple Brayton Cycle'!$A$10,"Ps",Q13,R13)+273.15</f>
        <v>790.2398469223789</v>
      </c>
      <c r="U13" s="8">
        <f t="shared" si="2"/>
        <v>6.84992021813385</v>
      </c>
      <c r="V13">
        <f t="shared" si="6"/>
        <v>303.8738919220873</v>
      </c>
      <c r="Z13" s="8">
        <f t="shared" si="7"/>
        <v>7.487371803327509</v>
      </c>
      <c r="AA13">
        <f t="shared" si="8"/>
        <v>787.7094799834617</v>
      </c>
    </row>
    <row r="14" spans="2:27" ht="15">
      <c r="B14">
        <f t="shared" si="3"/>
        <v>262</v>
      </c>
      <c r="C14">
        <f>_XLL.ENTROPY('simple Brayton Cycle'!$A$10,"PT",'T-s diagr. data'!$C$5,'T-s diagr. data'!B14-273.15)</f>
        <v>6.729082839767318</v>
      </c>
      <c r="E14">
        <f>_XLL.ENTROPY('simple Brayton Cycle'!$A$10,"PT",'T-s diagr. data'!$E$5,'T-s diagr. data'!B14-273.15)</f>
        <v>6.334923227547733</v>
      </c>
      <c r="G14" s="1">
        <f>G13+('simple Brayton Cycle'!$D$52-'simple Brayton Cycle'!$D$44)/100</f>
        <v>7.03279467343326</v>
      </c>
      <c r="H14" s="6">
        <f>_XLL.TEMPERATURE('simple Brayton Cycle'!$A$10,"Ps",'T-s diagr. data'!$E$5,'T-s diagr. data'!G14)+273.15</f>
        <v>521.9901309019009</v>
      </c>
      <c r="I14" s="6"/>
      <c r="J14" s="1">
        <f>J13-($J$8-'simple Brayton Cycle'!$D$33)/100</f>
        <v>7.510521713275226</v>
      </c>
      <c r="K14" s="6">
        <f>_XLL.TEMPERATURE('simple Brayton Cycle'!$A$10,"Ps",'T-s diagr. data'!$C$5,'T-s diagr. data'!J14)+273.15</f>
        <v>565.7562142409046</v>
      </c>
      <c r="L14" s="6"/>
      <c r="M14">
        <f t="shared" si="4"/>
        <v>1.1922200000000003</v>
      </c>
      <c r="N14" s="6">
        <f t="shared" si="0"/>
        <v>6.8418107413291445</v>
      </c>
      <c r="O14" s="1">
        <f>_XLL.TEMPERATURE('simple Brayton Cycle'!$A$10,"Ps",M14,N14)+273.15</f>
        <v>307.12145233672936</v>
      </c>
      <c r="Q14">
        <f t="shared" si="5"/>
        <v>3.820780000000001</v>
      </c>
      <c r="R14" s="6">
        <f t="shared" si="1"/>
        <v>7.483906877590238</v>
      </c>
      <c r="S14" s="1">
        <f>_XLL.TEMPERATURE('simple Brayton Cycle'!$A$10,"Ps",Q14,R14)+273.15</f>
        <v>788.6290703331251</v>
      </c>
      <c r="U14" s="8">
        <f t="shared" si="2"/>
        <v>6.851542113494791</v>
      </c>
      <c r="V14">
        <f t="shared" si="6"/>
        <v>306.01867030650476</v>
      </c>
      <c r="Z14" s="8">
        <f t="shared" si="7"/>
        <v>7.488064788474963</v>
      </c>
      <c r="AA14">
        <f t="shared" si="8"/>
        <v>785.6213759801541</v>
      </c>
    </row>
    <row r="15" spans="2:27" ht="15">
      <c r="B15">
        <f t="shared" si="3"/>
        <v>264</v>
      </c>
      <c r="C15">
        <f>_XLL.ENTROPY('simple Brayton Cycle'!$A$10,"PT",'T-s diagr. data'!$C$5,'T-s diagr. data'!B15-273.15)</f>
        <v>6.736711949328258</v>
      </c>
      <c r="E15">
        <f>_XLL.ENTROPY('simple Brayton Cycle'!$A$10,"PT",'T-s diagr. data'!$E$5,'T-s diagr. data'!B15-273.15)</f>
        <v>6.342552337108674</v>
      </c>
      <c r="G15" s="1">
        <f>G14+('simple Brayton Cycle'!$D$52-'simple Brayton Cycle'!$D$44)/100</f>
        <v>7.03759373943493</v>
      </c>
      <c r="H15" s="6">
        <f>_XLL.TEMPERATURE('simple Brayton Cycle'!$A$10,"Ps",'T-s diagr. data'!$E$5,'T-s diagr. data'!G15)+273.15</f>
        <v>524.4191110519394</v>
      </c>
      <c r="I15" s="6"/>
      <c r="J15" s="1">
        <f>J14-($J$8-'simple Brayton Cycle'!$D$33)/100</f>
        <v>7.503407766765162</v>
      </c>
      <c r="K15" s="6">
        <f>_XLL.TEMPERATURE('simple Brayton Cycle'!$A$10,"Ps",'T-s diagr. data'!$C$5,'T-s diagr. data'!J15)+273.15</f>
        <v>561.9075079392414</v>
      </c>
      <c r="L15" s="6"/>
      <c r="M15">
        <f t="shared" si="4"/>
        <v>1.2220900000000003</v>
      </c>
      <c r="N15" s="6">
        <f t="shared" si="0"/>
        <v>6.8418107413291445</v>
      </c>
      <c r="O15" s="1">
        <f>_XLL.TEMPERATURE('simple Brayton Cycle'!$A$10,"Ps",M15,N15)+273.15</f>
        <v>309.30043670976926</v>
      </c>
      <c r="Q15">
        <f t="shared" si="5"/>
        <v>3.790910000000001</v>
      </c>
      <c r="R15" s="6">
        <f t="shared" si="1"/>
        <v>7.483906877590238</v>
      </c>
      <c r="S15" s="1">
        <f>_XLL.TEMPERATURE('simple Brayton Cycle'!$A$10,"Ps",Q15,R15)+273.15</f>
        <v>787.0084034369062</v>
      </c>
      <c r="U15" s="8">
        <f t="shared" si="2"/>
        <v>6.853164008855732</v>
      </c>
      <c r="V15">
        <f t="shared" si="6"/>
        <v>308.1634486909222</v>
      </c>
      <c r="Z15" s="8">
        <f t="shared" si="7"/>
        <v>7.488757773622417</v>
      </c>
      <c r="AA15">
        <f t="shared" si="8"/>
        <v>783.5332719768464</v>
      </c>
    </row>
    <row r="16" spans="2:27" ht="15">
      <c r="B16">
        <f t="shared" si="3"/>
        <v>266</v>
      </c>
      <c r="C16">
        <f>_XLL.ENTROPY('simple Brayton Cycle'!$A$10,"PT",'T-s diagr. data'!$C$5,'T-s diagr. data'!B16-273.15)</f>
        <v>6.744283579435715</v>
      </c>
      <c r="E16">
        <f>_XLL.ENTROPY('simple Brayton Cycle'!$A$10,"PT",'T-s diagr. data'!$E$5,'T-s diagr. data'!B16-273.15)</f>
        <v>6.35012396721613</v>
      </c>
      <c r="G16" s="1">
        <f>G15+('simple Brayton Cycle'!$D$52-'simple Brayton Cycle'!$D$44)/100</f>
        <v>7.0423928054366005</v>
      </c>
      <c r="H16" s="6">
        <f>_XLL.TEMPERATURE('simple Brayton Cycle'!$A$10,"Ps",'T-s diagr. data'!$E$5,'T-s diagr. data'!G16)+273.15</f>
        <v>526.8582385379764</v>
      </c>
      <c r="I16" s="6"/>
      <c r="J16" s="1">
        <f>J15-($J$8-'simple Brayton Cycle'!$D$33)/100</f>
        <v>7.496293820255097</v>
      </c>
      <c r="K16" s="6">
        <f>_XLL.TEMPERATURE('simple Brayton Cycle'!$A$10,"Ps",'T-s diagr. data'!$C$5,'T-s diagr. data'!J16)+273.15</f>
        <v>558.0819648147598</v>
      </c>
      <c r="L16" s="6"/>
      <c r="M16">
        <f t="shared" si="4"/>
        <v>1.2519600000000004</v>
      </c>
      <c r="N16" s="6">
        <f t="shared" si="0"/>
        <v>6.8418107413291445</v>
      </c>
      <c r="O16" s="1">
        <f>_XLL.TEMPERATURE('simple Brayton Cycle'!$A$10,"Ps",M16,N16)+273.15</f>
        <v>311.4414591878381</v>
      </c>
      <c r="Q16">
        <f t="shared" si="5"/>
        <v>3.7610400000000013</v>
      </c>
      <c r="R16" s="6">
        <f t="shared" si="1"/>
        <v>7.483906877590238</v>
      </c>
      <c r="S16" s="1">
        <f>_XLL.TEMPERATURE('simple Brayton Cycle'!$A$10,"Ps",Q16,R16)+273.15</f>
        <v>785.3777083796764</v>
      </c>
      <c r="U16" s="8">
        <f t="shared" si="2"/>
        <v>6.854785904216673</v>
      </c>
      <c r="V16">
        <f t="shared" si="6"/>
        <v>310.3082270753397</v>
      </c>
      <c r="Z16" s="8">
        <f t="shared" si="7"/>
        <v>7.4894507587698715</v>
      </c>
      <c r="AA16">
        <f t="shared" si="8"/>
        <v>781.4451679735388</v>
      </c>
    </row>
    <row r="17" spans="2:27" ht="15">
      <c r="B17">
        <f t="shared" si="3"/>
        <v>268</v>
      </c>
      <c r="C17">
        <f>_XLL.ENTROPY('simple Brayton Cycle'!$A$10,"PT",'T-s diagr. data'!$C$5,'T-s diagr. data'!B17-273.15)</f>
        <v>6.75179862371833</v>
      </c>
      <c r="E17">
        <f>_XLL.ENTROPY('simple Brayton Cycle'!$A$10,"PT",'T-s diagr. data'!$E$5,'T-s diagr. data'!B17-273.15)</f>
        <v>6.357639011498747</v>
      </c>
      <c r="G17" s="1">
        <f>G16+('simple Brayton Cycle'!$D$52-'simple Brayton Cycle'!$D$44)/100</f>
        <v>7.047191871438271</v>
      </c>
      <c r="H17" s="6">
        <f>_XLL.TEMPERATURE('simple Brayton Cycle'!$A$10,"Ps",'T-s diagr. data'!$E$5,'T-s diagr. data'!G17)+273.15</f>
        <v>529.3075401182822</v>
      </c>
      <c r="I17" s="6"/>
      <c r="J17" s="1">
        <f>J16-($J$8-'simple Brayton Cycle'!$D$33)/100</f>
        <v>7.489179873745033</v>
      </c>
      <c r="K17" s="6">
        <f>_XLL.TEMPERATURE('simple Brayton Cycle'!$A$10,"Ps",'T-s diagr. data'!$C$5,'T-s diagr. data'!J17)+273.15</f>
        <v>554.2795000721904</v>
      </c>
      <c r="L17" s="6"/>
      <c r="M17">
        <f t="shared" si="4"/>
        <v>1.2818300000000005</v>
      </c>
      <c r="N17" s="6">
        <f t="shared" si="0"/>
        <v>6.8418107413291445</v>
      </c>
      <c r="O17" s="1">
        <f>_XLL.TEMPERATURE('simple Brayton Cycle'!$A$10,"Ps",M17,N17)+273.15</f>
        <v>313.54605133028747</v>
      </c>
      <c r="Q17">
        <f t="shared" si="5"/>
        <v>3.7311700000000014</v>
      </c>
      <c r="R17" s="6">
        <f t="shared" si="1"/>
        <v>7.483906877590238</v>
      </c>
      <c r="S17" s="1">
        <f>_XLL.TEMPERATURE('simple Brayton Cycle'!$A$10,"Ps",Q17,R17)+273.15</f>
        <v>783.7368442952568</v>
      </c>
      <c r="U17" s="8">
        <f t="shared" si="2"/>
        <v>6.856407799577614</v>
      </c>
      <c r="V17">
        <f t="shared" si="6"/>
        <v>312.45300545975715</v>
      </c>
      <c r="Z17" s="8">
        <f t="shared" si="7"/>
        <v>7.490143743917326</v>
      </c>
      <c r="AA17">
        <f t="shared" si="8"/>
        <v>779.3570639702311</v>
      </c>
    </row>
    <row r="18" spans="2:27" ht="15">
      <c r="B18">
        <f t="shared" si="3"/>
        <v>270</v>
      </c>
      <c r="C18">
        <f>_XLL.ENTROPY('simple Brayton Cycle'!$A$10,"PT",'T-s diagr. data'!$C$5,'T-s diagr. data'!B18-273.15)</f>
        <v>6.759257955706303</v>
      </c>
      <c r="E18">
        <f>_XLL.ENTROPY('simple Brayton Cycle'!$A$10,"PT",'T-s diagr. data'!$E$5,'T-s diagr. data'!B18-273.15)</f>
        <v>6.365098343486718</v>
      </c>
      <c r="G18" s="1">
        <f>G17+('simple Brayton Cycle'!$D$52-'simple Brayton Cycle'!$D$44)/100</f>
        <v>7.051990937439941</v>
      </c>
      <c r="H18" s="6">
        <f>_XLL.TEMPERATURE('simple Brayton Cycle'!$A$10,"Ps",'T-s diagr. data'!$E$5,'T-s diagr. data'!G18)+273.15</f>
        <v>531.7670424948072</v>
      </c>
      <c r="I18" s="6"/>
      <c r="J18" s="1">
        <f>J17-($J$8-'simple Brayton Cycle'!$D$33)/100</f>
        <v>7.482065927234968</v>
      </c>
      <c r="K18" s="6">
        <f>_XLL.TEMPERATURE('simple Brayton Cycle'!$A$10,"Ps",'T-s diagr. data'!$C$5,'T-s diagr. data'!J18)+273.15</f>
        <v>550.5000286813438</v>
      </c>
      <c r="L18" s="6"/>
      <c r="M18">
        <f t="shared" si="4"/>
        <v>1.3117000000000005</v>
      </c>
      <c r="N18" s="6">
        <f t="shared" si="0"/>
        <v>6.8418107413291445</v>
      </c>
      <c r="O18" s="1">
        <f>_XLL.TEMPERATURE('simple Brayton Cycle'!$A$10,"Ps",M18,N18)+273.15</f>
        <v>315.61564893427084</v>
      </c>
      <c r="Q18">
        <f t="shared" si="5"/>
        <v>3.7013000000000016</v>
      </c>
      <c r="R18" s="6">
        <f t="shared" si="1"/>
        <v>7.483906877590238</v>
      </c>
      <c r="S18" s="1">
        <f>_XLL.TEMPERATURE('simple Brayton Cycle'!$A$10,"Ps",Q18,R18)+273.15</f>
        <v>782.0856672151057</v>
      </c>
      <c r="U18" s="8">
        <f t="shared" si="2"/>
        <v>6.858029694938555</v>
      </c>
      <c r="V18">
        <f t="shared" si="6"/>
        <v>314.5977838441746</v>
      </c>
      <c r="Z18" s="8">
        <f t="shared" si="7"/>
        <v>7.49083672906478</v>
      </c>
      <c r="AA18">
        <f t="shared" si="8"/>
        <v>777.2689599669235</v>
      </c>
    </row>
    <row r="19" spans="2:27" ht="15">
      <c r="B19">
        <f t="shared" si="3"/>
        <v>272</v>
      </c>
      <c r="C19">
        <f>_XLL.ENTROPY('simple Brayton Cycle'!$A$10,"PT",'T-s diagr. data'!$C$5,'T-s diagr. data'!B19-273.15)</f>
        <v>6.7666624294249225</v>
      </c>
      <c r="E19">
        <f>_XLL.ENTROPY('simple Brayton Cycle'!$A$10,"PT",'T-s diagr. data'!$E$5,'T-s diagr. data'!B19-273.15)</f>
        <v>6.372502817205339</v>
      </c>
      <c r="G19" s="1">
        <f>G18+('simple Brayton Cycle'!$D$52-'simple Brayton Cycle'!$D$44)/100</f>
        <v>7.056790003441611</v>
      </c>
      <c r="H19" s="6">
        <f>_XLL.TEMPERATURE('simple Brayton Cycle'!$A$10,"Ps",'T-s diagr. data'!$E$5,'T-s diagr. data'!G19)+273.15</f>
        <v>534.2367723134901</v>
      </c>
      <c r="I19" s="6"/>
      <c r="J19" s="1">
        <f>J18-($J$8-'simple Brayton Cycle'!$D$33)/100</f>
        <v>7.474951980724904</v>
      </c>
      <c r="K19" s="6">
        <f>_XLL.TEMPERATURE('simple Brayton Cycle'!$A$10,"Ps",'T-s diagr. data'!$C$5,'T-s diagr. data'!J19)+273.15</f>
        <v>546.743465370507</v>
      </c>
      <c r="L19" s="6"/>
      <c r="M19">
        <f t="shared" si="4"/>
        <v>1.3415700000000006</v>
      </c>
      <c r="N19" s="6">
        <f t="shared" si="0"/>
        <v>6.8418107413291445</v>
      </c>
      <c r="O19" s="1">
        <f>_XLL.TEMPERATURE('simple Brayton Cycle'!$A$10,"Ps",M19,N19)+273.15</f>
        <v>317.6516000531581</v>
      </c>
      <c r="Q19">
        <f t="shared" si="5"/>
        <v>3.6714300000000017</v>
      </c>
      <c r="R19" s="6">
        <f t="shared" si="1"/>
        <v>7.483906877590238</v>
      </c>
      <c r="S19" s="1">
        <f>_XLL.TEMPERATURE('simple Brayton Cycle'!$A$10,"Ps",Q19,R19)+273.15</f>
        <v>780.4240299746443</v>
      </c>
      <c r="U19" s="8">
        <f t="shared" si="2"/>
        <v>6.859651590299496</v>
      </c>
      <c r="V19">
        <f t="shared" si="6"/>
        <v>316.7425622285921</v>
      </c>
      <c r="Z19" s="8">
        <f t="shared" si="7"/>
        <v>7.491529714212234</v>
      </c>
      <c r="AA19">
        <f t="shared" si="8"/>
        <v>775.1808559636158</v>
      </c>
    </row>
    <row r="20" spans="2:27" ht="15">
      <c r="B20">
        <f t="shared" si="3"/>
        <v>274</v>
      </c>
      <c r="C20">
        <f>_XLL.ENTROPY('simple Brayton Cycle'!$A$10,"PT",'T-s diagr. data'!$C$5,'T-s diagr. data'!B20-273.15)</f>
        <v>6.774012879966386</v>
      </c>
      <c r="E20">
        <f>_XLL.ENTROPY('simple Brayton Cycle'!$A$10,"PT",'T-s diagr. data'!$E$5,'T-s diagr. data'!B20-273.15)</f>
        <v>6.379853267746801</v>
      </c>
      <c r="G20" s="1">
        <f>G19+('simple Brayton Cycle'!$D$52-'simple Brayton Cycle'!$D$44)/100</f>
        <v>7.061589069443281</v>
      </c>
      <c r="H20" s="6">
        <f>_XLL.TEMPERATURE('simple Brayton Cycle'!$A$10,"Ps",'T-s diagr. data'!$E$5,'T-s diagr. data'!G20)+273.15</f>
        <v>536.7167561646186</v>
      </c>
      <c r="I20" s="6"/>
      <c r="J20" s="1">
        <f>J19-($J$8-'simple Brayton Cycle'!$D$33)/100</f>
        <v>7.467838034214839</v>
      </c>
      <c r="K20" s="6">
        <f>_XLL.TEMPERATURE('simple Brayton Cycle'!$A$10,"Ps",'T-s diagr. data'!$C$5,'T-s diagr. data'!J20)+273.15</f>
        <v>543.0097246204658</v>
      </c>
      <c r="L20" s="6"/>
      <c r="M20">
        <f t="shared" si="4"/>
        <v>1.3714400000000007</v>
      </c>
      <c r="N20" s="6">
        <f t="shared" si="0"/>
        <v>6.8418107413291445</v>
      </c>
      <c r="O20" s="1">
        <f>_XLL.TEMPERATURE('simple Brayton Cycle'!$A$10,"Ps",M20,N20)+273.15</f>
        <v>319.65517218101206</v>
      </c>
      <c r="Q20">
        <f t="shared" si="5"/>
        <v>3.641560000000002</v>
      </c>
      <c r="R20" s="6">
        <f t="shared" si="1"/>
        <v>7.483906877590238</v>
      </c>
      <c r="S20" s="1">
        <f>_XLL.TEMPERATURE('simple Brayton Cycle'!$A$10,"Ps",Q20,R20)+273.15</f>
        <v>778.7517821159603</v>
      </c>
      <c r="U20" s="8">
        <f t="shared" si="2"/>
        <v>6.861273485660437</v>
      </c>
      <c r="V20">
        <f t="shared" si="6"/>
        <v>318.88734061300954</v>
      </c>
      <c r="Z20" s="8">
        <f t="shared" si="7"/>
        <v>7.492222699359688</v>
      </c>
      <c r="AA20">
        <f t="shared" si="8"/>
        <v>773.0927519603082</v>
      </c>
    </row>
    <row r="21" spans="2:27" ht="15">
      <c r="B21">
        <f t="shared" si="3"/>
        <v>276</v>
      </c>
      <c r="C21">
        <f>_XLL.ENTROPY('simple Brayton Cycle'!$A$10,"PT",'T-s diagr. data'!$C$5,'T-s diagr. data'!B21-273.15)</f>
        <v>6.781310124040816</v>
      </c>
      <c r="E21">
        <f>_XLL.ENTROPY('simple Brayton Cycle'!$A$10,"PT",'T-s diagr. data'!$E$5,'T-s diagr. data'!B21-273.15)</f>
        <v>6.38715051182123</v>
      </c>
      <c r="G21" s="1">
        <f>G20+('simple Brayton Cycle'!$D$52-'simple Brayton Cycle'!$D$44)/100</f>
        <v>7.066388135444951</v>
      </c>
      <c r="H21" s="6">
        <f>_XLL.TEMPERATURE('simple Brayton Cycle'!$A$10,"Ps",'T-s diagr. data'!$E$5,'T-s diagr. data'!G21)+273.15</f>
        <v>539.2070205832462</v>
      </c>
      <c r="I21" s="6"/>
      <c r="J21" s="1">
        <f>J20-($J$8-'simple Brayton Cycle'!$D$33)/100</f>
        <v>7.460724087704775</v>
      </c>
      <c r="K21" s="6">
        <f>_XLL.TEMPERATURE('simple Brayton Cycle'!$A$10,"Ps",'T-s diagr. data'!$C$5,'T-s diagr. data'!J21)+273.15</f>
        <v>539.2987206591339</v>
      </c>
      <c r="L21" s="6"/>
      <c r="M21">
        <f t="shared" si="4"/>
        <v>1.4013100000000007</v>
      </c>
      <c r="N21" s="6">
        <f t="shared" si="0"/>
        <v>6.8418107413291445</v>
      </c>
      <c r="O21" s="1">
        <f>_XLL.TEMPERATURE('simple Brayton Cycle'!$A$10,"Ps",M21,N21)+273.15</f>
        <v>321.6275587060306</v>
      </c>
      <c r="Q21">
        <f t="shared" si="5"/>
        <v>3.611690000000002</v>
      </c>
      <c r="R21" s="6">
        <f t="shared" si="1"/>
        <v>7.483906877590238</v>
      </c>
      <c r="S21" s="1">
        <f>_XLL.TEMPERATURE('simple Brayton Cycle'!$A$10,"Ps",Q21,R21)+273.15</f>
        <v>777.0687697867506</v>
      </c>
      <c r="U21" s="8">
        <f t="shared" si="2"/>
        <v>6.862895381021378</v>
      </c>
      <c r="V21">
        <f t="shared" si="6"/>
        <v>321.032118997427</v>
      </c>
      <c r="Z21" s="8">
        <f t="shared" si="7"/>
        <v>7.4929156845071425</v>
      </c>
      <c r="AA21">
        <f t="shared" si="8"/>
        <v>771.0046479570005</v>
      </c>
    </row>
    <row r="22" spans="2:27" ht="15">
      <c r="B22">
        <f t="shared" si="3"/>
        <v>278</v>
      </c>
      <c r="C22">
        <f>_XLL.ENTROPY('simple Brayton Cycle'!$A$10,"PT",'T-s diagr. data'!$C$5,'T-s diagr. data'!B22-273.15)</f>
        <v>6.788554960507373</v>
      </c>
      <c r="E22">
        <f>_XLL.ENTROPY('simple Brayton Cycle'!$A$10,"PT",'T-s diagr. data'!$E$5,'T-s diagr. data'!B22-273.15)</f>
        <v>6.394395348287789</v>
      </c>
      <c r="G22" s="1">
        <f>G21+('simple Brayton Cycle'!$D$52-'simple Brayton Cycle'!$D$44)/100</f>
        <v>7.071187201446621</v>
      </c>
      <c r="H22" s="6">
        <f>_XLL.TEMPERATURE('simple Brayton Cycle'!$A$10,"Ps",'T-s diagr. data'!$E$5,'T-s diagr. data'!G22)+273.15</f>
        <v>541.7075920496462</v>
      </c>
      <c r="I22" s="6"/>
      <c r="J22" s="1">
        <f>J21-($J$8-'simple Brayton Cycle'!$D$33)/100</f>
        <v>7.45361014119471</v>
      </c>
      <c r="K22" s="6">
        <f>_XLL.TEMPERATURE('simple Brayton Cycle'!$A$10,"Ps",'T-s diagr. data'!$C$5,'T-s diagr. data'!J22)+273.15</f>
        <v>535.6103674567821</v>
      </c>
      <c r="L22" s="6"/>
      <c r="M22">
        <f t="shared" si="4"/>
        <v>1.4311800000000008</v>
      </c>
      <c r="N22" s="6">
        <f t="shared" si="0"/>
        <v>6.8418107413291445</v>
      </c>
      <c r="O22" s="1">
        <f>_XLL.TEMPERATURE('simple Brayton Cycle'!$A$10,"Ps",M22,N22)+273.15</f>
        <v>323.56988472125613</v>
      </c>
      <c r="Q22">
        <f t="shared" si="5"/>
        <v>3.5818200000000022</v>
      </c>
      <c r="R22" s="6">
        <f t="shared" si="1"/>
        <v>7.483906877590238</v>
      </c>
      <c r="S22" s="1">
        <f>_XLL.TEMPERATURE('simple Brayton Cycle'!$A$10,"Ps",Q22,R22)+273.15</f>
        <v>775.3748356352927</v>
      </c>
      <c r="U22" s="8">
        <f t="shared" si="2"/>
        <v>6.864517276382319</v>
      </c>
      <c r="V22">
        <f t="shared" si="6"/>
        <v>323.17689738184447</v>
      </c>
      <c r="Z22" s="8">
        <f t="shared" si="7"/>
        <v>7.493608669654597</v>
      </c>
      <c r="AA22">
        <f t="shared" si="8"/>
        <v>768.9165439536929</v>
      </c>
    </row>
    <row r="23" spans="2:27" ht="15">
      <c r="B23">
        <f t="shared" si="3"/>
        <v>280</v>
      </c>
      <c r="C23">
        <f>_XLL.ENTROPY('simple Brayton Cycle'!$A$10,"PT",'T-s diagr. data'!$C$5,'T-s diagr. data'!B23-273.15)</f>
        <v>6.795748170886352</v>
      </c>
      <c r="E23">
        <f>_XLL.ENTROPY('simple Brayton Cycle'!$A$10,"PT",'T-s diagr. data'!$E$5,'T-s diagr. data'!B23-273.15)</f>
        <v>6.401588558666766</v>
      </c>
      <c r="G23" s="1">
        <f>G22+('simple Brayton Cycle'!$D$52-'simple Brayton Cycle'!$D$44)/100</f>
        <v>7.075986267448291</v>
      </c>
      <c r="H23" s="6">
        <f>_XLL.TEMPERATURE('simple Brayton Cycle'!$A$10,"Ps",'T-s diagr. data'!$E$5,'T-s diagr. data'!G23)+273.15</f>
        <v>544.2184969898424</v>
      </c>
      <c r="I23" s="6"/>
      <c r="J23" s="1">
        <f>J22-($J$8-'simple Brayton Cycle'!$D$33)/100</f>
        <v>7.446496194684646</v>
      </c>
      <c r="K23" s="6">
        <f>_XLL.TEMPERATURE('simple Brayton Cycle'!$A$10,"Ps",'T-s diagr. data'!$C$5,'T-s diagr. data'!J23)+273.15</f>
        <v>531.9445787218481</v>
      </c>
      <c r="L23" s="6"/>
      <c r="M23">
        <f t="shared" si="4"/>
        <v>1.4610500000000008</v>
      </c>
      <c r="N23" s="6">
        <f t="shared" si="0"/>
        <v>6.8418107413291445</v>
      </c>
      <c r="O23" s="1">
        <f>_XLL.TEMPERATURE('simple Brayton Cycle'!$A$10,"Ps",M23,N23)+273.15</f>
        <v>325.48321226856217</v>
      </c>
      <c r="Q23">
        <f t="shared" si="5"/>
        <v>3.5519500000000024</v>
      </c>
      <c r="R23" s="6">
        <f t="shared" si="1"/>
        <v>7.483906877590238</v>
      </c>
      <c r="S23" s="1">
        <f>_XLL.TEMPERATURE('simple Brayton Cycle'!$A$10,"Ps",Q23,R23)+273.15</f>
        <v>773.6698187012585</v>
      </c>
      <c r="U23" s="8">
        <f t="shared" si="2"/>
        <v>6.86613917174326</v>
      </c>
      <c r="V23">
        <f t="shared" si="6"/>
        <v>325.32167576626193</v>
      </c>
      <c r="Z23" s="8">
        <f t="shared" si="7"/>
        <v>7.494301654802051</v>
      </c>
      <c r="AA23">
        <f t="shared" si="8"/>
        <v>766.8284399503852</v>
      </c>
    </row>
    <row r="24" spans="2:27" ht="15">
      <c r="B24">
        <f t="shared" si="3"/>
        <v>282</v>
      </c>
      <c r="C24">
        <f>_XLL.ENTROPY('simple Brayton Cycle'!$A$10,"PT",'T-s diagr. data'!$C$5,'T-s diagr. data'!B24-273.15)</f>
        <v>6.802890519853032</v>
      </c>
      <c r="E24">
        <f>_XLL.ENTROPY('simple Brayton Cycle'!$A$10,"PT",'T-s diagr. data'!$E$5,'T-s diagr. data'!B24-273.15)</f>
        <v>6.408730907633449</v>
      </c>
      <c r="G24" s="1">
        <f>G23+('simple Brayton Cycle'!$D$52-'simple Brayton Cycle'!$D$44)/100</f>
        <v>7.0807853334499615</v>
      </c>
      <c r="H24" s="6">
        <f>_XLL.TEMPERATURE('simple Brayton Cycle'!$A$10,"Ps",'T-s diagr. data'!$E$5,'T-s diagr. data'!G24)+273.15</f>
        <v>546.7397617761643</v>
      </c>
      <c r="I24" s="6"/>
      <c r="J24" s="1">
        <f>J23-($J$8-'simple Brayton Cycle'!$D$33)/100</f>
        <v>7.4393822481745815</v>
      </c>
      <c r="K24" s="6">
        <f>_XLL.TEMPERATURE('simple Brayton Cycle'!$A$10,"Ps",'T-s diagr. data'!$C$5,'T-s diagr. data'!J24)+273.15</f>
        <v>528.3012678973115</v>
      </c>
      <c r="L24" s="6"/>
      <c r="M24">
        <f t="shared" si="4"/>
        <v>1.490920000000001</v>
      </c>
      <c r="N24" s="6">
        <f t="shared" si="0"/>
        <v>6.8418107413291445</v>
      </c>
      <c r="O24" s="1">
        <f>_XLL.TEMPERATURE('simple Brayton Cycle'!$A$10,"Ps",M24,N24)+273.15</f>
        <v>327.3685450815906</v>
      </c>
      <c r="Q24">
        <f t="shared" si="5"/>
        <v>3.5220800000000025</v>
      </c>
      <c r="R24" s="6">
        <f t="shared" si="1"/>
        <v>7.483906877590238</v>
      </c>
      <c r="S24" s="1">
        <f>_XLL.TEMPERATURE('simple Brayton Cycle'!$A$10,"Ps",Q24,R24)+273.15</f>
        <v>771.9535543022067</v>
      </c>
      <c r="U24" s="8">
        <f t="shared" si="2"/>
        <v>6.867761067104201</v>
      </c>
      <c r="V24">
        <f t="shared" si="6"/>
        <v>327.4664541506794</v>
      </c>
      <c r="Z24" s="8">
        <f t="shared" si="7"/>
        <v>7.494994639949505</v>
      </c>
      <c r="AA24">
        <f t="shared" si="8"/>
        <v>764.7403359470776</v>
      </c>
    </row>
    <row r="25" spans="2:27" ht="15">
      <c r="B25">
        <f t="shared" si="3"/>
        <v>284</v>
      </c>
      <c r="C25">
        <f>_XLL.ENTROPY('simple Brayton Cycle'!$A$10,"PT",'T-s diagr. data'!$C$5,'T-s diagr. data'!B25-273.15)</f>
        <v>6.809982755714097</v>
      </c>
      <c r="E25">
        <f>_XLL.ENTROPY('simple Brayton Cycle'!$A$10,"PT",'T-s diagr. data'!$E$5,'T-s diagr. data'!B25-273.15)</f>
        <v>6.415823143494512</v>
      </c>
      <c r="G25" s="1">
        <f>G24+('simple Brayton Cycle'!$D$52-'simple Brayton Cycle'!$D$44)/100</f>
        <v>7.085584399451632</v>
      </c>
      <c r="H25" s="6">
        <f>_XLL.TEMPERATURE('simple Brayton Cycle'!$A$10,"Ps",'T-s diagr. data'!$E$5,'T-s diagr. data'!G25)+273.15</f>
        <v>549.271412727886</v>
      </c>
      <c r="I25" s="6"/>
      <c r="J25" s="1">
        <f>J24-($J$8-'simple Brayton Cycle'!$D$33)/100</f>
        <v>7.432268301664517</v>
      </c>
      <c r="K25" s="6">
        <f>_XLL.TEMPERATURE('simple Brayton Cycle'!$A$10,"Ps",'T-s diagr. data'!$C$5,'T-s diagr. data'!J25)+273.15</f>
        <v>524.680348157631</v>
      </c>
      <c r="L25" s="6"/>
      <c r="M25">
        <f t="shared" si="4"/>
        <v>1.520790000000001</v>
      </c>
      <c r="N25" s="6">
        <f t="shared" si="0"/>
        <v>6.8418107413291445</v>
      </c>
      <c r="O25" s="1">
        <f>_XLL.TEMPERATURE('simple Brayton Cycle'!$A$10,"Ps",M25,N25)+273.15</f>
        <v>329.2268328845368</v>
      </c>
      <c r="Q25">
        <f t="shared" si="5"/>
        <v>3.4922100000000027</v>
      </c>
      <c r="R25" s="6">
        <f t="shared" si="1"/>
        <v>7.483906877590238</v>
      </c>
      <c r="S25" s="1">
        <f>_XLL.TEMPERATURE('simple Brayton Cycle'!$A$10,"Ps",Q25,R25)+273.15</f>
        <v>770.2258739154893</v>
      </c>
      <c r="U25" s="8">
        <f t="shared" si="2"/>
        <v>6.869382962465142</v>
      </c>
      <c r="V25">
        <f t="shared" si="6"/>
        <v>329.61123253509686</v>
      </c>
      <c r="Z25" s="8">
        <f t="shared" si="7"/>
        <v>7.495687625096959</v>
      </c>
      <c r="AA25">
        <f t="shared" si="8"/>
        <v>762.65223194377</v>
      </c>
    </row>
    <row r="26" spans="2:27" ht="15">
      <c r="B26">
        <f t="shared" si="3"/>
        <v>286</v>
      </c>
      <c r="C26">
        <f>_XLL.ENTROPY('simple Brayton Cycle'!$A$10,"PT",'T-s diagr. data'!$C$5,'T-s diagr. data'!B26-273.15)</f>
        <v>6.817025610867316</v>
      </c>
      <c r="E26">
        <f>_XLL.ENTROPY('simple Brayton Cycle'!$A$10,"PT",'T-s diagr. data'!$E$5,'T-s diagr. data'!B26-273.15)</f>
        <v>6.4228659986477314</v>
      </c>
      <c r="G26" s="1">
        <f>G25+('simple Brayton Cycle'!$D$52-'simple Brayton Cycle'!$D$44)/100</f>
        <v>7.090383465453302</v>
      </c>
      <c r="H26" s="6">
        <f>_XLL.TEMPERATURE('simple Brayton Cycle'!$A$10,"Ps",'T-s diagr. data'!$E$5,'T-s diagr. data'!G26)+273.15</f>
        <v>551.8134761118948</v>
      </c>
      <c r="I26" s="6"/>
      <c r="J26" s="1">
        <f>J25-($J$8-'simple Brayton Cycle'!$D$33)/100</f>
        <v>7.4251543551544525</v>
      </c>
      <c r="K26" s="6">
        <f>_XLL.TEMPERATURE('simple Brayton Cycle'!$A$10,"Ps",'T-s diagr. data'!$C$5,'T-s diagr. data'!J26)+273.15</f>
        <v>521.0817324062143</v>
      </c>
      <c r="L26" s="6"/>
      <c r="M26">
        <f t="shared" si="4"/>
        <v>1.550660000000001</v>
      </c>
      <c r="N26" s="6">
        <f t="shared" si="0"/>
        <v>6.8418107413291445</v>
      </c>
      <c r="O26" s="1">
        <f>_XLL.TEMPERATURE('simple Brayton Cycle'!$A$10,"Ps",M26,N26)+273.15</f>
        <v>331.0589752962356</v>
      </c>
      <c r="Q26">
        <f t="shared" si="5"/>
        <v>3.462340000000003</v>
      </c>
      <c r="R26" s="6">
        <f t="shared" si="1"/>
        <v>7.483906877590238</v>
      </c>
      <c r="S26" s="1">
        <f>_XLL.TEMPERATURE('simple Brayton Cycle'!$A$10,"Ps",Q26,R26)+273.15</f>
        <v>768.4866050553901</v>
      </c>
      <c r="U26" s="8">
        <f t="shared" si="2"/>
        <v>6.871004857826083</v>
      </c>
      <c r="V26">
        <f t="shared" si="6"/>
        <v>331.7560109195143</v>
      </c>
      <c r="Z26" s="8">
        <f t="shared" si="7"/>
        <v>7.4963806102444135</v>
      </c>
      <c r="AA26">
        <f t="shared" si="8"/>
        <v>760.5641279404623</v>
      </c>
    </row>
    <row r="27" spans="2:27" ht="15">
      <c r="B27">
        <f t="shared" si="3"/>
        <v>288</v>
      </c>
      <c r="C27">
        <f>_XLL.ENTROPY('simple Brayton Cycle'!$A$10,"PT",'T-s diagr. data'!$C$5,'T-s diagr. data'!B27-273.15)</f>
        <v>6.82401980224523</v>
      </c>
      <c r="E27">
        <f>_XLL.ENTROPY('simple Brayton Cycle'!$A$10,"PT",'T-s diagr. data'!$E$5,'T-s diagr. data'!B27-273.15)</f>
        <v>6.429860190025648</v>
      </c>
      <c r="G27" s="1">
        <f>G26+('simple Brayton Cycle'!$D$52-'simple Brayton Cycle'!$D$44)/100</f>
        <v>7.095182531454972</v>
      </c>
      <c r="H27" s="6">
        <f>_XLL.TEMPERATURE('simple Brayton Cycle'!$A$10,"Ps",'T-s diagr. data'!$E$5,'T-s diagr. data'!G27)+273.15</f>
        <v>554.3659781434338</v>
      </c>
      <c r="I27" s="6"/>
      <c r="J27" s="1">
        <f>J26-($J$8-'simple Brayton Cycle'!$D$33)/100</f>
        <v>7.418040408644388</v>
      </c>
      <c r="K27" s="6">
        <f>_XLL.TEMPERATURE('simple Brayton Cycle'!$A$10,"Ps",'T-s diagr. data'!$C$5,'T-s diagr. data'!J27)+273.15</f>
        <v>517.5053332734187</v>
      </c>
      <c r="L27" s="6"/>
      <c r="M27">
        <f t="shared" si="4"/>
        <v>1.580530000000001</v>
      </c>
      <c r="N27" s="6">
        <f t="shared" si="0"/>
        <v>6.8418107413291445</v>
      </c>
      <c r="O27" s="1">
        <f>_XLL.TEMPERATURE('simple Brayton Cycle'!$A$10,"Ps",M27,N27)+273.15</f>
        <v>332.8658253826664</v>
      </c>
      <c r="Q27">
        <f t="shared" si="5"/>
        <v>3.432470000000003</v>
      </c>
      <c r="R27" s="6">
        <f t="shared" si="1"/>
        <v>7.483906877590238</v>
      </c>
      <c r="S27" s="1">
        <f>_XLL.TEMPERATURE('simple Brayton Cycle'!$A$10,"Ps",Q27,R27)+273.15</f>
        <v>766.7355711452296</v>
      </c>
      <c r="U27" s="8">
        <f t="shared" si="2"/>
        <v>6.872626753187024</v>
      </c>
      <c r="V27">
        <f t="shared" si="6"/>
        <v>333.9007893039318</v>
      </c>
      <c r="Z27" s="8">
        <f t="shared" si="7"/>
        <v>7.497073595391868</v>
      </c>
      <c r="AA27">
        <f t="shared" si="8"/>
        <v>758.4760239371547</v>
      </c>
    </row>
    <row r="28" spans="2:27" ht="15">
      <c r="B28">
        <f t="shared" si="3"/>
        <v>290</v>
      </c>
      <c r="C28">
        <f>_XLL.ENTROPY('simple Brayton Cycle'!$A$10,"PT",'T-s diagr. data'!$C$5,'T-s diagr. data'!B28-273.15)</f>
        <v>6.830966031743474</v>
      </c>
      <c r="E28">
        <f>_XLL.ENTROPY('simple Brayton Cycle'!$A$10,"PT",'T-s diagr. data'!$E$5,'T-s diagr. data'!B28-273.15)</f>
        <v>6.436806419523889</v>
      </c>
      <c r="G28" s="1">
        <f>G27+('simple Brayton Cycle'!$D$52-'simple Brayton Cycle'!$D$44)/100</f>
        <v>7.099981597456642</v>
      </c>
      <c r="H28" s="6">
        <f>_XLL.TEMPERATURE('simple Brayton Cycle'!$A$10,"Ps",'T-s diagr. data'!$E$5,'T-s diagr. data'!G28)+273.15</f>
        <v>556.9289449868913</v>
      </c>
      <c r="I28" s="6"/>
      <c r="J28" s="1">
        <f>J27-($J$8-'simple Brayton Cycle'!$D$33)/100</f>
        <v>7.410926462134324</v>
      </c>
      <c r="K28" s="6">
        <f>_XLL.TEMPERATURE('simple Brayton Cycle'!$A$10,"Ps",'T-s diagr. data'!$C$5,'T-s diagr. data'!J28)+273.15</f>
        <v>513.9510631150688</v>
      </c>
      <c r="L28" s="6"/>
      <c r="M28">
        <f t="shared" si="4"/>
        <v>1.6104000000000012</v>
      </c>
      <c r="N28" s="6">
        <f t="shared" si="0"/>
        <v>6.8418107413291445</v>
      </c>
      <c r="O28" s="1">
        <f>_XLL.TEMPERATURE('simple Brayton Cycle'!$A$10,"Ps",M28,N28)+273.15</f>
        <v>334.6481928955293</v>
      </c>
      <c r="Q28">
        <f t="shared" si="5"/>
        <v>3.402600000000003</v>
      </c>
      <c r="R28" s="6">
        <f t="shared" si="1"/>
        <v>7.483906877590238</v>
      </c>
      <c r="S28" s="1">
        <f>_XLL.TEMPERATURE('simple Brayton Cycle'!$A$10,"Ps",Q28,R28)+273.15</f>
        <v>764.9725913842169</v>
      </c>
      <c r="U28" s="8">
        <f t="shared" si="2"/>
        <v>6.874248648547965</v>
      </c>
      <c r="V28">
        <f t="shared" si="6"/>
        <v>336.04556768834925</v>
      </c>
      <c r="Z28" s="8">
        <f t="shared" si="7"/>
        <v>7.497766580539322</v>
      </c>
      <c r="AA28">
        <f t="shared" si="8"/>
        <v>756.387919933847</v>
      </c>
    </row>
    <row r="29" spans="2:27" ht="15">
      <c r="B29">
        <f t="shared" si="3"/>
        <v>292</v>
      </c>
      <c r="C29">
        <f>_XLL.ENTROPY('simple Brayton Cycle'!$A$10,"PT",'T-s diagr. data'!$C$5,'T-s diagr. data'!B29-273.15)</f>
        <v>6.837864986634366</v>
      </c>
      <c r="E29">
        <f>_XLL.ENTROPY('simple Brayton Cycle'!$A$10,"PT",'T-s diagr. data'!$E$5,'T-s diagr. data'!B29-273.15)</f>
        <v>6.4437053744147805</v>
      </c>
      <c r="G29" s="1">
        <f>G28+('simple Brayton Cycle'!$D$52-'simple Brayton Cycle'!$D$44)/100</f>
        <v>7.104780663458312</v>
      </c>
      <c r="H29" s="6">
        <f>_XLL.TEMPERATURE('simple Brayton Cycle'!$A$10,"Ps",'T-s diagr. data'!$E$5,'T-s diagr. data'!G29)+273.15</f>
        <v>559.5024027566561</v>
      </c>
      <c r="I29" s="6"/>
      <c r="J29" s="1">
        <f>J28-($J$8-'simple Brayton Cycle'!$D$33)/100</f>
        <v>7.403812515624259</v>
      </c>
      <c r="K29" s="6">
        <f>_XLL.TEMPERATURE('simple Brayton Cycle'!$A$10,"Ps",'T-s diagr. data'!$C$5,'T-s diagr. data'!J29)+273.15</f>
        <v>510.41883401146487</v>
      </c>
      <c r="L29" s="6"/>
      <c r="M29">
        <f t="shared" si="4"/>
        <v>1.6402700000000012</v>
      </c>
      <c r="N29" s="6">
        <f t="shared" si="0"/>
        <v>6.8418107413291445</v>
      </c>
      <c r="O29" s="1">
        <f>_XLL.TEMPERATURE('simple Brayton Cycle'!$A$10,"Ps",M29,N29)+273.15</f>
        <v>336.4068472299392</v>
      </c>
      <c r="Q29">
        <f t="shared" si="5"/>
        <v>3.3727300000000033</v>
      </c>
      <c r="R29" s="6">
        <f t="shared" si="1"/>
        <v>7.483906877590238</v>
      </c>
      <c r="S29" s="1">
        <f>_XLL.TEMPERATURE('simple Brayton Cycle'!$A$10,"Ps",Q29,R29)+273.15</f>
        <v>763.1974806087544</v>
      </c>
      <c r="U29" s="8">
        <f t="shared" si="2"/>
        <v>6.875870543908906</v>
      </c>
      <c r="V29">
        <f t="shared" si="6"/>
        <v>338.1903460727667</v>
      </c>
      <c r="Z29" s="8">
        <f t="shared" si="7"/>
        <v>7.498459565686776</v>
      </c>
      <c r="AA29">
        <f t="shared" si="8"/>
        <v>754.2998159305394</v>
      </c>
    </row>
    <row r="30" spans="2:27" ht="15">
      <c r="B30">
        <f t="shared" si="3"/>
        <v>294</v>
      </c>
      <c r="C30">
        <f>_XLL.ENTROPY('simple Brayton Cycle'!$A$10,"PT",'T-s diagr. data'!$C$5,'T-s diagr. data'!B30-273.15)</f>
        <v>6.8447173399664125</v>
      </c>
      <c r="E30">
        <f>_XLL.ENTROPY('simple Brayton Cycle'!$A$10,"PT",'T-s diagr. data'!$E$5,'T-s diagr. data'!B30-273.15)</f>
        <v>6.450557727746827</v>
      </c>
      <c r="G30" s="1">
        <f>G29+('simple Brayton Cycle'!$D$52-'simple Brayton Cycle'!$D$44)/100</f>
        <v>7.109579729459982</v>
      </c>
      <c r="H30" s="6">
        <f>_XLL.TEMPERATURE('simple Brayton Cycle'!$A$10,"Ps",'T-s diagr. data'!$E$5,'T-s diagr. data'!G30)+273.15</f>
        <v>562.0863775180239</v>
      </c>
      <c r="I30" s="6"/>
      <c r="J30" s="1">
        <f>J29-($J$8-'simple Brayton Cycle'!$D$33)/100</f>
        <v>7.396698569114195</v>
      </c>
      <c r="K30" s="6">
        <f>_XLL.TEMPERATURE('simple Brayton Cycle'!$A$10,"Ps",'T-s diagr. data'!$C$5,'T-s diagr. data'!J30)+273.15</f>
        <v>506.9085577668878</v>
      </c>
      <c r="L30" s="6"/>
      <c r="M30">
        <f t="shared" si="4"/>
        <v>1.6701400000000013</v>
      </c>
      <c r="N30" s="6">
        <f t="shared" si="0"/>
        <v>6.8418107413291445</v>
      </c>
      <c r="O30" s="1">
        <f>_XLL.TEMPERATURE('simple Brayton Cycle'!$A$10,"Ps",M30,N30)+273.15</f>
        <v>338.14252013022394</v>
      </c>
      <c r="Q30">
        <f t="shared" si="5"/>
        <v>3.3428600000000035</v>
      </c>
      <c r="R30" s="6">
        <f t="shared" si="1"/>
        <v>7.483906877590238</v>
      </c>
      <c r="S30" s="1">
        <f>_XLL.TEMPERATURE('simple Brayton Cycle'!$A$10,"Ps",Q30,R30)+273.15</f>
        <v>761.4100491479184</v>
      </c>
      <c r="U30" s="8">
        <f t="shared" si="2"/>
        <v>6.877492439269847</v>
      </c>
      <c r="V30">
        <f t="shared" si="6"/>
        <v>340.3351244571842</v>
      </c>
      <c r="Z30" s="8">
        <f t="shared" si="7"/>
        <v>7.49915255083423</v>
      </c>
      <c r="AA30">
        <f t="shared" si="8"/>
        <v>752.2117119272317</v>
      </c>
    </row>
    <row r="31" spans="2:27" ht="15">
      <c r="B31">
        <f t="shared" si="3"/>
        <v>296</v>
      </c>
      <c r="C31">
        <f>_XLL.ENTROPY('simple Brayton Cycle'!$A$10,"PT",'T-s diagr. data'!$C$5,'T-s diagr. data'!B31-273.15)</f>
        <v>6.851523750950247</v>
      </c>
      <c r="E31">
        <f>_XLL.ENTROPY('simple Brayton Cycle'!$A$10,"PT",'T-s diagr. data'!$E$5,'T-s diagr. data'!B31-273.15)</f>
        <v>6.457364138730662</v>
      </c>
      <c r="G31" s="1">
        <f>G30+('simple Brayton Cycle'!$D$52-'simple Brayton Cycle'!$D$44)/100</f>
        <v>7.114378795461652</v>
      </c>
      <c r="H31" s="6">
        <f>_XLL.TEMPERATURE('simple Brayton Cycle'!$A$10,"Ps",'T-s diagr. data'!$E$5,'T-s diagr. data'!G31)+273.15</f>
        <v>564.6808952881662</v>
      </c>
      <c r="I31" s="6"/>
      <c r="J31" s="1">
        <f>J30-($J$8-'simple Brayton Cycle'!$D$33)/100</f>
        <v>7.38958462260413</v>
      </c>
      <c r="K31" s="6">
        <f>_XLL.TEMPERATURE('simple Brayton Cycle'!$A$10,"Ps",'T-s diagr. data'!$C$5,'T-s diagr. data'!J31)+273.15</f>
        <v>503.42014590956524</v>
      </c>
      <c r="L31" s="6"/>
      <c r="M31">
        <f t="shared" si="4"/>
        <v>1.7000100000000014</v>
      </c>
      <c r="N31" s="6">
        <f t="shared" si="0"/>
        <v>6.8418107413291445</v>
      </c>
      <c r="O31" s="1">
        <f>_XLL.TEMPERATURE('simple Brayton Cycle'!$A$10,"Ps",M31,N31)+273.15</f>
        <v>339.8559081693989</v>
      </c>
      <c r="Q31">
        <f t="shared" si="5"/>
        <v>3.3129900000000037</v>
      </c>
      <c r="R31" s="6">
        <f t="shared" si="1"/>
        <v>7.483906877590238</v>
      </c>
      <c r="S31" s="1">
        <f>_XLL.TEMPERATURE('simple Brayton Cycle'!$A$10,"Ps",Q31,R31)+273.15</f>
        <v>759.6101026728431</v>
      </c>
      <c r="U31" s="8">
        <f t="shared" si="2"/>
        <v>6.879114334630788</v>
      </c>
      <c r="V31">
        <f t="shared" si="6"/>
        <v>342.47990284160164</v>
      </c>
      <c r="Z31" s="8">
        <f t="shared" si="7"/>
        <v>7.4998455359816845</v>
      </c>
      <c r="AA31">
        <f t="shared" si="8"/>
        <v>750.123607923924</v>
      </c>
    </row>
    <row r="32" spans="2:27" ht="15">
      <c r="B32">
        <f t="shared" si="3"/>
        <v>298</v>
      </c>
      <c r="C32">
        <f>_XLL.ENTROPY('simple Brayton Cycle'!$A$10,"PT",'T-s diagr. data'!$C$5,'T-s diagr. data'!B32-273.15)</f>
        <v>6.858284865331574</v>
      </c>
      <c r="E32">
        <f>_XLL.ENTROPY('simple Brayton Cycle'!$A$10,"PT",'T-s diagr. data'!$E$5,'T-s diagr. data'!B32-273.15)</f>
        <v>6.46412525311199</v>
      </c>
      <c r="G32" s="1">
        <f>G31+('simple Brayton Cycle'!$D$52-'simple Brayton Cycle'!$D$44)/100</f>
        <v>7.1191778614633225</v>
      </c>
      <c r="H32" s="6">
        <f>_XLL.TEMPERATURE('simple Brayton Cycle'!$A$10,"Ps",'T-s diagr. data'!$E$5,'T-s diagr. data'!G32)+273.15</f>
        <v>567.2859820371634</v>
      </c>
      <c r="I32" s="6"/>
      <c r="J32" s="1">
        <f>J31-($J$8-'simple Brayton Cycle'!$D$33)/100</f>
        <v>7.382470676094066</v>
      </c>
      <c r="K32" s="6">
        <f>_XLL.TEMPERATURE('simple Brayton Cycle'!$A$10,"Ps",'T-s diagr. data'!$C$5,'T-s diagr. data'!J32)+273.15</f>
        <v>499.95350967814403</v>
      </c>
      <c r="L32" s="6"/>
      <c r="M32">
        <f t="shared" si="4"/>
        <v>1.7298800000000014</v>
      </c>
      <c r="N32" s="6">
        <f t="shared" si="0"/>
        <v>6.8418107413291445</v>
      </c>
      <c r="O32" s="1">
        <f>_XLL.TEMPERATURE('simple Brayton Cycle'!$A$10,"Ps",M32,N32)+273.15</f>
        <v>341.5476750248557</v>
      </c>
      <c r="Q32">
        <f t="shared" si="5"/>
        <v>3.283120000000004</v>
      </c>
      <c r="R32" s="6">
        <f t="shared" si="1"/>
        <v>7.483906877590238</v>
      </c>
      <c r="S32" s="1">
        <f>_XLL.TEMPERATURE('simple Brayton Cycle'!$A$10,"Ps",Q32,R32)+273.15</f>
        <v>757.7974420396582</v>
      </c>
      <c r="U32" s="8">
        <f t="shared" si="2"/>
        <v>6.880736229991729</v>
      </c>
      <c r="V32">
        <f t="shared" si="6"/>
        <v>344.6246812260191</v>
      </c>
      <c r="Z32" s="8">
        <f t="shared" si="7"/>
        <v>7.500538521129139</v>
      </c>
      <c r="AA32">
        <f t="shared" si="8"/>
        <v>748.0355039206164</v>
      </c>
    </row>
    <row r="33" spans="2:27" ht="15">
      <c r="B33">
        <f t="shared" si="3"/>
        <v>300</v>
      </c>
      <c r="C33">
        <f>_XLL.ENTROPY('simple Brayton Cycle'!$A$10,"PT",'T-s diagr. data'!$C$5,'T-s diagr. data'!B33-273.15)</f>
        <v>6.86500131575165</v>
      </c>
      <c r="E33">
        <f>_XLL.ENTROPY('simple Brayton Cycle'!$A$10,"PT",'T-s diagr. data'!$E$5,'T-s diagr. data'!B33-273.15)</f>
        <v>6.470841703532068</v>
      </c>
      <c r="G33" s="1">
        <f>G32+('simple Brayton Cycle'!$D$52-'simple Brayton Cycle'!$D$44)/100</f>
        <v>7.123976927464993</v>
      </c>
      <c r="H33" s="6">
        <f>_XLL.TEMPERATURE('simple Brayton Cycle'!$A$10,"Ps",'T-s diagr. data'!$E$5,'T-s diagr. data'!G33)+273.15</f>
        <v>569.9016636890971</v>
      </c>
      <c r="I33" s="6"/>
      <c r="J33" s="1">
        <f>J32-($J$8-'simple Brayton Cycle'!$D$33)/100</f>
        <v>7.375356729584001</v>
      </c>
      <c r="K33" s="6">
        <f>_XLL.TEMPERATURE('simple Brayton Cycle'!$A$10,"Ps",'T-s diagr. data'!$C$5,'T-s diagr. data'!J33)+273.15</f>
        <v>496.50855998471616</v>
      </c>
      <c r="L33" s="6"/>
      <c r="M33">
        <f t="shared" si="4"/>
        <v>1.7597500000000015</v>
      </c>
      <c r="N33" s="6">
        <f t="shared" si="0"/>
        <v>6.8418107413291445</v>
      </c>
      <c r="O33" s="1">
        <f>_XLL.TEMPERATURE('simple Brayton Cycle'!$A$10,"Ps",M33,N33)+273.15</f>
        <v>343.2184535702443</v>
      </c>
      <c r="Q33">
        <f t="shared" si="5"/>
        <v>3.253250000000004</v>
      </c>
      <c r="R33" s="6">
        <f t="shared" si="1"/>
        <v>7.483906877590238</v>
      </c>
      <c r="S33" s="1">
        <f>_XLL.TEMPERATURE('simple Brayton Cycle'!$A$10,"Ps",Q33,R33)+273.15</f>
        <v>755.9718631256659</v>
      </c>
      <c r="U33" s="8">
        <f t="shared" si="2"/>
        <v>6.88235812535267</v>
      </c>
      <c r="V33">
        <f t="shared" si="6"/>
        <v>346.76945961043657</v>
      </c>
      <c r="Z33" s="8">
        <f t="shared" si="7"/>
        <v>7.501231506276593</v>
      </c>
      <c r="AA33">
        <f t="shared" si="8"/>
        <v>745.9473999173088</v>
      </c>
    </row>
    <row r="34" spans="2:27" ht="15">
      <c r="B34">
        <f t="shared" si="3"/>
        <v>302</v>
      </c>
      <c r="C34">
        <f>_XLL.ENTROPY('simple Brayton Cycle'!$A$10,"PT",'T-s diagr. data'!$C$5,'T-s diagr. data'!B34-273.15)</f>
        <v>6.8716737220957915</v>
      </c>
      <c r="E34">
        <f>_XLL.ENTROPY('simple Brayton Cycle'!$A$10,"PT",'T-s diagr. data'!$E$5,'T-s diagr. data'!B34-273.15)</f>
        <v>6.477514109876208</v>
      </c>
      <c r="G34" s="1">
        <f>G33+('simple Brayton Cycle'!$D$52-'simple Brayton Cycle'!$D$44)/100</f>
        <v>7.128775993466663</v>
      </c>
      <c r="H34" s="6">
        <f>_XLL.TEMPERATURE('simple Brayton Cycle'!$A$10,"Ps",'T-s diagr. data'!$E$5,'T-s diagr. data'!G34)+273.15</f>
        <v>572.5279661231984</v>
      </c>
      <c r="I34" s="6"/>
      <c r="J34" s="1">
        <f>J33-($J$8-'simple Brayton Cycle'!$D$33)/100</f>
        <v>7.368242783073937</v>
      </c>
      <c r="K34" s="6">
        <f>_XLL.TEMPERATURE('simple Brayton Cycle'!$A$10,"Ps",'T-s diagr. data'!$C$5,'T-s diagr. data'!J34)+273.15</f>
        <v>493.08520762743024</v>
      </c>
      <c r="L34" s="6"/>
      <c r="M34">
        <f t="shared" si="4"/>
        <v>1.7896200000000015</v>
      </c>
      <c r="N34" s="6">
        <f t="shared" si="0"/>
        <v>6.8418107413291445</v>
      </c>
      <c r="O34" s="1">
        <f>_XLL.TEMPERATURE('simple Brayton Cycle'!$A$10,"Ps",M34,N34)+273.15</f>
        <v>344.8688478012332</v>
      </c>
      <c r="Q34">
        <f t="shared" si="5"/>
        <v>3.223380000000004</v>
      </c>
      <c r="R34" s="6">
        <f t="shared" si="1"/>
        <v>7.483906877590238</v>
      </c>
      <c r="S34" s="1">
        <f>_XLL.TEMPERATURE('simple Brayton Cycle'!$A$10,"Ps",Q34,R34)+273.15</f>
        <v>754.1331566583978</v>
      </c>
      <c r="U34" s="8">
        <f t="shared" si="2"/>
        <v>6.8839800207136115</v>
      </c>
      <c r="V34">
        <f t="shared" si="6"/>
        <v>348.91423799485403</v>
      </c>
      <c r="Z34" s="8">
        <f t="shared" si="7"/>
        <v>7.501924491424047</v>
      </c>
      <c r="AA34">
        <f t="shared" si="8"/>
        <v>743.8592959140011</v>
      </c>
    </row>
    <row r="35" spans="2:27" ht="15">
      <c r="B35">
        <f t="shared" si="3"/>
        <v>304</v>
      </c>
      <c r="C35">
        <f>_XLL.ENTROPY('simple Brayton Cycle'!$A$10,"PT",'T-s diagr. data'!$C$5,'T-s diagr. data'!B35-273.15)</f>
        <v>6.878302691830351</v>
      </c>
      <c r="E35">
        <f>_XLL.ENTROPY('simple Brayton Cycle'!$A$10,"PT",'T-s diagr. data'!$E$5,'T-s diagr. data'!B35-273.15)</f>
        <v>6.484143079610766</v>
      </c>
      <c r="G35" s="1">
        <f>G34+('simple Brayton Cycle'!$D$52-'simple Brayton Cycle'!$D$44)/100</f>
        <v>7.133575059468333</v>
      </c>
      <c r="H35" s="6">
        <f>_XLL.TEMPERATURE('simple Brayton Cycle'!$A$10,"Ps",'T-s diagr. data'!$E$5,'T-s diagr. data'!G35)+273.15</f>
        <v>575.1649151750661</v>
      </c>
      <c r="I35" s="6"/>
      <c r="J35" s="1">
        <f>J34-($J$8-'simple Brayton Cycle'!$D$33)/100</f>
        <v>7.361128836563872</v>
      </c>
      <c r="K35" s="6">
        <f>_XLL.TEMPERATURE('simple Brayton Cycle'!$A$10,"Ps",'T-s diagr. data'!$C$5,'T-s diagr. data'!J35)+273.15</f>
        <v>489.6833635376761</v>
      </c>
      <c r="L35" s="6"/>
      <c r="M35">
        <f t="shared" si="4"/>
        <v>1.8194900000000016</v>
      </c>
      <c r="N35" s="6">
        <f t="shared" si="0"/>
        <v>6.8418107413291445</v>
      </c>
      <c r="O35" s="1">
        <f>_XLL.TEMPERATURE('simple Brayton Cycle'!$A$10,"Ps",M35,N35)+273.15</f>
        <v>346.49943461089777</v>
      </c>
      <c r="Q35">
        <f t="shared" si="5"/>
        <v>3.1935100000000043</v>
      </c>
      <c r="R35" s="6">
        <f t="shared" si="1"/>
        <v>7.483906877590238</v>
      </c>
      <c r="S35" s="1">
        <f>_XLL.TEMPERATURE('simple Brayton Cycle'!$A$10,"Ps",Q35,R35)+273.15</f>
        <v>752.2811080371557</v>
      </c>
      <c r="U35" s="8">
        <f t="shared" si="2"/>
        <v>6.8856019160745525</v>
      </c>
      <c r="V35">
        <f t="shared" si="6"/>
        <v>351.0590163792715</v>
      </c>
      <c r="Z35" s="8">
        <f t="shared" si="7"/>
        <v>7.502617476571501</v>
      </c>
      <c r="AA35">
        <f t="shared" si="8"/>
        <v>741.7711919106935</v>
      </c>
    </row>
    <row r="36" spans="2:27" ht="15">
      <c r="B36">
        <f t="shared" si="3"/>
        <v>306</v>
      </c>
      <c r="C36">
        <f>_XLL.ENTROPY('simple Brayton Cycle'!$A$10,"PT",'T-s diagr. data'!$C$5,'T-s diagr. data'!B36-273.15)</f>
        <v>6.884888820328691</v>
      </c>
      <c r="E36">
        <f>_XLL.ENTROPY('simple Brayton Cycle'!$A$10,"PT",'T-s diagr. data'!$E$5,'T-s diagr. data'!B36-273.15)</f>
        <v>6.4907292081091095</v>
      </c>
      <c r="G36" s="1">
        <f>G35+('simple Brayton Cycle'!$D$52-'simple Brayton Cycle'!$D$44)/100</f>
        <v>7.138374125470003</v>
      </c>
      <c r="H36" s="6">
        <f>_XLL.TEMPERATURE('simple Brayton Cycle'!$A$10,"Ps",'T-s diagr. data'!$E$5,'T-s diagr. data'!G36)+273.15</f>
        <v>577.8125366379577</v>
      </c>
      <c r="I36" s="6"/>
      <c r="J36" s="1">
        <f>J35-($J$8-'simple Brayton Cycle'!$D$33)/100</f>
        <v>7.354014890053808</v>
      </c>
      <c r="K36" s="6">
        <f>_XLL.TEMPERATURE('simple Brayton Cycle'!$A$10,"Ps",'T-s diagr. data'!$C$5,'T-s diagr. data'!J36)+273.15</f>
        <v>486.3029368772509</v>
      </c>
      <c r="L36" s="6"/>
      <c r="M36">
        <f t="shared" si="4"/>
        <v>1.8493600000000017</v>
      </c>
      <c r="N36" s="6">
        <f t="shared" si="0"/>
        <v>6.8418107413291445</v>
      </c>
      <c r="O36" s="1">
        <f>_XLL.TEMPERATURE('simple Brayton Cycle'!$A$10,"Ps",M36,N36)+273.15</f>
        <v>348.110765428721</v>
      </c>
      <c r="Q36">
        <f t="shared" si="5"/>
        <v>3.1636400000000044</v>
      </c>
      <c r="R36" s="6">
        <f t="shared" si="1"/>
        <v>7.483906877590238</v>
      </c>
      <c r="S36" s="1">
        <f>_XLL.TEMPERATURE('simple Brayton Cycle'!$A$10,"Ps",Q36,R36)+273.15</f>
        <v>750.4154971466721</v>
      </c>
      <c r="U36" s="8">
        <f t="shared" si="2"/>
        <v>6.887223811435494</v>
      </c>
      <c r="V36">
        <f t="shared" si="6"/>
        <v>353.20379476368896</v>
      </c>
      <c r="Z36" s="8">
        <f t="shared" si="7"/>
        <v>7.503310461718955</v>
      </c>
      <c r="AA36">
        <f t="shared" si="8"/>
        <v>739.6830879073858</v>
      </c>
    </row>
    <row r="37" spans="2:27" ht="15">
      <c r="B37">
        <f t="shared" si="3"/>
        <v>308</v>
      </c>
      <c r="C37">
        <f>_XLL.ENTROPY('simple Brayton Cycle'!$A$10,"PT",'T-s diagr. data'!$C$5,'T-s diagr. data'!B37-273.15)</f>
        <v>6.891432691186499</v>
      </c>
      <c r="E37">
        <f>_XLL.ENTROPY('simple Brayton Cycle'!$A$10,"PT",'T-s diagr. data'!$E$5,'T-s diagr. data'!B37-273.15)</f>
        <v>6.497273078966916</v>
      </c>
      <c r="G37" s="1">
        <f>G36+('simple Brayton Cycle'!$D$52-'simple Brayton Cycle'!$D$44)/100</f>
        <v>7.143173191471673</v>
      </c>
      <c r="H37" s="6">
        <f>_XLL.TEMPERATURE('simple Brayton Cycle'!$A$10,"Ps",'T-s diagr. data'!$E$5,'T-s diagr. data'!G37)+273.15</f>
        <v>580.4708562641196</v>
      </c>
      <c r="I37" s="6"/>
      <c r="J37" s="1">
        <f>J36-($J$8-'simple Brayton Cycle'!$D$33)/100</f>
        <v>7.346900943543743</v>
      </c>
      <c r="K37" s="6">
        <f>_XLL.TEMPERATURE('simple Brayton Cycle'!$A$10,"Ps",'T-s diagr. data'!$C$5,'T-s diagr. data'!J37)+273.15</f>
        <v>482.9438380409018</v>
      </c>
      <c r="L37" s="6"/>
      <c r="M37">
        <f t="shared" si="4"/>
        <v>1.8792300000000017</v>
      </c>
      <c r="N37" s="6">
        <f t="shared" si="0"/>
        <v>6.8418107413291445</v>
      </c>
      <c r="O37" s="1">
        <f>_XLL.TEMPERATURE('simple Brayton Cycle'!$A$10,"Ps",M37,N37)+273.15</f>
        <v>349.70336773573547</v>
      </c>
      <c r="Q37">
        <f t="shared" si="5"/>
        <v>3.1337700000000046</v>
      </c>
      <c r="R37" s="6">
        <f t="shared" si="1"/>
        <v>7.483906877590238</v>
      </c>
      <c r="S37" s="1">
        <f>_XLL.TEMPERATURE('simple Brayton Cycle'!$A$10,"Ps",Q37,R37)+273.15</f>
        <v>748.5360981624168</v>
      </c>
      <c r="U37" s="8">
        <f t="shared" si="2"/>
        <v>6.888845706796435</v>
      </c>
      <c r="V37">
        <f t="shared" si="6"/>
        <v>355.3485731481064</v>
      </c>
      <c r="Z37" s="8">
        <f t="shared" si="7"/>
        <v>7.50400344686641</v>
      </c>
      <c r="AA37">
        <f t="shared" si="8"/>
        <v>737.5949839040782</v>
      </c>
    </row>
    <row r="38" spans="2:27" ht="15">
      <c r="B38">
        <f t="shared" si="3"/>
        <v>310</v>
      </c>
      <c r="C38">
        <f>_XLL.ENTROPY('simple Brayton Cycle'!$A$10,"PT",'T-s diagr. data'!$C$5,'T-s diagr. data'!B38-273.15)</f>
        <v>6.897934876526922</v>
      </c>
      <c r="E38">
        <f>_XLL.ENTROPY('simple Brayton Cycle'!$A$10,"PT",'T-s diagr. data'!$E$5,'T-s diagr. data'!B38-273.15)</f>
        <v>6.503775264307338</v>
      </c>
      <c r="G38" s="1">
        <f>G37+('simple Brayton Cycle'!$D$52-'simple Brayton Cycle'!$D$44)/100</f>
        <v>7.147972257473343</v>
      </c>
      <c r="H38" s="6">
        <f>_XLL.TEMPERATURE('simple Brayton Cycle'!$A$10,"Ps",'T-s diagr. data'!$E$5,'T-s diagr. data'!G38)+273.15</f>
        <v>583.1398997662138</v>
      </c>
      <c r="I38" s="6"/>
      <c r="J38" s="1">
        <f>J37-($J$8-'simple Brayton Cycle'!$D$33)/100</f>
        <v>7.339786997033679</v>
      </c>
      <c r="K38" s="6">
        <f>_XLL.TEMPERATURE('simple Brayton Cycle'!$A$10,"Ps",'T-s diagr. data'!$C$5,'T-s diagr. data'!J38)+273.15</f>
        <v>479.6059766592354</v>
      </c>
      <c r="L38" s="6"/>
      <c r="M38">
        <f t="shared" si="4"/>
        <v>1.9091000000000018</v>
      </c>
      <c r="N38" s="6">
        <f t="shared" si="0"/>
        <v>6.8418107413291445</v>
      </c>
      <c r="O38" s="1">
        <f>_XLL.TEMPERATURE('simple Brayton Cycle'!$A$10,"Ps",M38,N38)+273.15</f>
        <v>351.27774646695076</v>
      </c>
      <c r="Q38">
        <f t="shared" si="5"/>
        <v>3.1039000000000048</v>
      </c>
      <c r="R38" s="6">
        <f t="shared" si="1"/>
        <v>7.483906877590238</v>
      </c>
      <c r="S38" s="1">
        <f>_XLL.TEMPERATURE('simple Brayton Cycle'!$A$10,"Ps",Q38,R38)+273.15</f>
        <v>746.64267934713</v>
      </c>
      <c r="U38" s="8">
        <f t="shared" si="2"/>
        <v>6.890467602157376</v>
      </c>
      <c r="V38">
        <f t="shared" si="6"/>
        <v>357.4933515325239</v>
      </c>
      <c r="Z38" s="8">
        <f t="shared" si="7"/>
        <v>7.504696432013864</v>
      </c>
      <c r="AA38">
        <f t="shared" si="8"/>
        <v>735.5068799007705</v>
      </c>
    </row>
    <row r="39" spans="2:27" ht="15">
      <c r="B39">
        <f t="shared" si="3"/>
        <v>312</v>
      </c>
      <c r="C39">
        <f>_XLL.ENTROPY('simple Brayton Cycle'!$A$10,"PT",'T-s diagr. data'!$C$5,'T-s diagr. data'!B39-273.15)</f>
        <v>6.904395937295875</v>
      </c>
      <c r="E39">
        <f>_XLL.ENTROPY('simple Brayton Cycle'!$A$10,"PT",'T-s diagr. data'!$E$5,'T-s diagr. data'!B39-273.15)</f>
        <v>6.51023632507629</v>
      </c>
      <c r="G39" s="1">
        <f>G38+('simple Brayton Cycle'!$D$52-'simple Brayton Cycle'!$D$44)/100</f>
        <v>7.152771323475013</v>
      </c>
      <c r="H39" s="6">
        <f>_XLL.TEMPERATURE('simple Brayton Cycle'!$A$10,"Ps",'T-s diagr. data'!$E$5,'T-s diagr. data'!G39)+273.15</f>
        <v>585.8196928187793</v>
      </c>
      <c r="I39" s="6"/>
      <c r="J39" s="1">
        <f>J38-($J$8-'simple Brayton Cycle'!$D$33)/100</f>
        <v>7.332673050523614</v>
      </c>
      <c r="K39" s="6">
        <f>_XLL.TEMPERATURE('simple Brayton Cycle'!$A$10,"Ps",'T-s diagr. data'!$C$5,'T-s diagr. data'!J39)+273.15</f>
        <v>476.28926210199</v>
      </c>
      <c r="L39" s="6"/>
      <c r="M39">
        <f t="shared" si="4"/>
        <v>1.9389700000000019</v>
      </c>
      <c r="N39" s="6">
        <f t="shared" si="0"/>
        <v>6.8418107413291445</v>
      </c>
      <c r="O39" s="1">
        <f>_XLL.TEMPERATURE('simple Brayton Cycle'!$A$10,"Ps",M39,N39)+273.15</f>
        <v>352.83438531109715</v>
      </c>
      <c r="Q39">
        <f t="shared" si="5"/>
        <v>3.074030000000005</v>
      </c>
      <c r="R39" s="6">
        <f t="shared" si="1"/>
        <v>7.483906877590238</v>
      </c>
      <c r="S39" s="1">
        <f>_XLL.TEMPERATURE('simple Brayton Cycle'!$A$10,"Ps",Q39,R39)+273.15</f>
        <v>744.735002838074</v>
      </c>
      <c r="U39" s="8">
        <f t="shared" si="2"/>
        <v>6.892089497518317</v>
      </c>
      <c r="V39">
        <f t="shared" si="6"/>
        <v>359.63812991694135</v>
      </c>
      <c r="Z39" s="8">
        <f t="shared" si="7"/>
        <v>7.505389417161318</v>
      </c>
      <c r="AA39">
        <f t="shared" si="8"/>
        <v>733.4187758974629</v>
      </c>
    </row>
    <row r="40" spans="2:27" ht="15">
      <c r="B40">
        <f t="shared" si="3"/>
        <v>314</v>
      </c>
      <c r="C40">
        <f>_XLL.ENTROPY('simple Brayton Cycle'!$A$10,"PT",'T-s diagr. data'!$C$5,'T-s diagr. data'!B40-273.15)</f>
        <v>6.910816423547918</v>
      </c>
      <c r="E40">
        <f>_XLL.ENTROPY('simple Brayton Cycle'!$A$10,"PT",'T-s diagr. data'!$E$5,'T-s diagr. data'!B40-273.15)</f>
        <v>6.516656811328334</v>
      </c>
      <c r="G40" s="1">
        <f>G39+('simple Brayton Cycle'!$D$52-'simple Brayton Cycle'!$D$44)/100</f>
        <v>7.157570389476684</v>
      </c>
      <c r="H40" s="6">
        <f>_XLL.TEMPERATURE('simple Brayton Cycle'!$A$10,"Ps",'T-s diagr. data'!$E$5,'T-s diagr. data'!G40)+273.15</f>
        <v>588.5102610597947</v>
      </c>
      <c r="I40" s="6"/>
      <c r="J40" s="1">
        <f>J39-($J$8-'simple Brayton Cycle'!$D$33)/100</f>
        <v>7.32555910401355</v>
      </c>
      <c r="K40" s="6">
        <f>_XLL.TEMPERATURE('simple Brayton Cycle'!$A$10,"Ps",'T-s diagr. data'!$C$5,'T-s diagr. data'!J40)+273.15</f>
        <v>472.9936034816681</v>
      </c>
      <c r="L40" s="6"/>
      <c r="M40">
        <f t="shared" si="4"/>
        <v>1.968840000000002</v>
      </c>
      <c r="N40" s="6">
        <f t="shared" si="0"/>
        <v>6.8418107413291445</v>
      </c>
      <c r="O40" s="1">
        <f>_XLL.TEMPERATURE('simple Brayton Cycle'!$A$10,"Ps",M40,N40)+273.15</f>
        <v>354.37374791665707</v>
      </c>
      <c r="Q40">
        <f t="shared" si="5"/>
        <v>3.044160000000005</v>
      </c>
      <c r="R40" s="6">
        <f t="shared" si="1"/>
        <v>7.483906877590238</v>
      </c>
      <c r="S40" s="1">
        <f>_XLL.TEMPERATURE('simple Brayton Cycle'!$A$10,"Ps",Q40,R40)+273.15</f>
        <v>742.8128244245075</v>
      </c>
      <c r="U40" s="8">
        <f t="shared" si="2"/>
        <v>6.893711392879258</v>
      </c>
      <c r="V40">
        <f t="shared" si="6"/>
        <v>361.7829083013588</v>
      </c>
      <c r="Z40" s="8">
        <f t="shared" si="7"/>
        <v>7.506082402308772</v>
      </c>
      <c r="AA40">
        <f t="shared" si="8"/>
        <v>731.3306718941552</v>
      </c>
    </row>
    <row r="41" spans="2:27" ht="15">
      <c r="B41">
        <f t="shared" si="3"/>
        <v>316</v>
      </c>
      <c r="C41">
        <f>_XLL.ENTROPY('simple Brayton Cycle'!$A$10,"PT",'T-s diagr. data'!$C$5,'T-s diagr. data'!B41-273.15)</f>
        <v>6.9171968747230785</v>
      </c>
      <c r="E41">
        <f>_XLL.ENTROPY('simple Brayton Cycle'!$A$10,"PT",'T-s diagr. data'!$E$5,'T-s diagr. data'!B41-273.15)</f>
        <v>6.523037262503495</v>
      </c>
      <c r="G41" s="1">
        <f>G40+('simple Brayton Cycle'!$D$52-'simple Brayton Cycle'!$D$44)/100</f>
        <v>7.162369455478354</v>
      </c>
      <c r="H41" s="6">
        <f>_XLL.TEMPERATURE('simple Brayton Cycle'!$A$10,"Ps",'T-s diagr. data'!$E$5,'T-s diagr. data'!G41)+273.15</f>
        <v>591.2116300922772</v>
      </c>
      <c r="I41" s="6"/>
      <c r="J41" s="1">
        <f>J40-($J$8-'simple Brayton Cycle'!$D$33)/100</f>
        <v>7.3184451575034855</v>
      </c>
      <c r="K41" s="6">
        <f>_XLL.TEMPERATURE('simple Brayton Cycle'!$A$10,"Ps",'T-s diagr. data'!$C$5,'T-s diagr. data'!J41)+273.15</f>
        <v>469.7189096574905</v>
      </c>
      <c r="L41" s="6"/>
      <c r="M41">
        <f t="shared" si="4"/>
        <v>1.998710000000002</v>
      </c>
      <c r="N41" s="6">
        <f t="shared" si="0"/>
        <v>6.8418107413291445</v>
      </c>
      <c r="O41" s="1">
        <f>_XLL.TEMPERATURE('simple Brayton Cycle'!$A$10,"Ps",M41,N41)+273.15</f>
        <v>355.89627901224276</v>
      </c>
      <c r="Q41">
        <f t="shared" si="5"/>
        <v>3.0142900000000052</v>
      </c>
      <c r="R41" s="6">
        <f t="shared" si="1"/>
        <v>7.483906877590238</v>
      </c>
      <c r="S41" s="1">
        <f>_XLL.TEMPERATURE('simple Brayton Cycle'!$A$10,"Ps",Q41,R41)+273.15</f>
        <v>740.8758933148097</v>
      </c>
      <c r="U41" s="8">
        <f aca="true" t="shared" si="9" ref="U41:U72">U40+($W$4-$W$3)/100</f>
        <v>6.895333288240199</v>
      </c>
      <c r="V41">
        <f t="shared" si="6"/>
        <v>363.9276866857763</v>
      </c>
      <c r="Z41" s="8">
        <f t="shared" si="7"/>
        <v>7.506775387456226</v>
      </c>
      <c r="AA41">
        <f t="shared" si="8"/>
        <v>729.2425678908476</v>
      </c>
    </row>
    <row r="42" spans="2:27" ht="15">
      <c r="B42">
        <f t="shared" si="3"/>
        <v>318</v>
      </c>
      <c r="C42">
        <f>_XLL.ENTROPY('simple Brayton Cycle'!$A$10,"PT",'T-s diagr. data'!$C$5,'T-s diagr. data'!B42-273.15)</f>
        <v>6.923537819914903</v>
      </c>
      <c r="E42">
        <f>_XLL.ENTROPY('simple Brayton Cycle'!$A$10,"PT",'T-s diagr. data'!$E$5,'T-s diagr. data'!B42-273.15)</f>
        <v>6.529378207695319</v>
      </c>
      <c r="G42" s="1">
        <f>G41+('simple Brayton Cycle'!$D$52-'simple Brayton Cycle'!$D$44)/100</f>
        <v>7.167168521480024</v>
      </c>
      <c r="H42" s="6">
        <f>_XLL.TEMPERATURE('simple Brayton Cycle'!$A$10,"Ps",'T-s diagr. data'!$E$5,'T-s diagr. data'!G42)+273.15</f>
        <v>593.9238254859774</v>
      </c>
      <c r="I42" s="6"/>
      <c r="J42" s="1">
        <f>J41-($J$8-'simple Brayton Cycle'!$D$33)/100</f>
        <v>7.311331210993421</v>
      </c>
      <c r="K42" s="6">
        <f>_XLL.TEMPERATURE('simple Brayton Cycle'!$A$10,"Ps",'T-s diagr. data'!$C$5,'T-s diagr. data'!J42)+273.15</f>
        <v>466.4650892396835</v>
      </c>
      <c r="L42" s="6"/>
      <c r="M42">
        <f t="shared" si="4"/>
        <v>2.028580000000002</v>
      </c>
      <c r="N42" s="6">
        <f t="shared" si="0"/>
        <v>6.8418107413291445</v>
      </c>
      <c r="O42" s="1">
        <f>_XLL.TEMPERATURE('simple Brayton Cycle'!$A$10,"Ps",M42,N42)+273.15</f>
        <v>357.4024054486133</v>
      </c>
      <c r="Q42">
        <f t="shared" si="5"/>
        <v>2.9844200000000054</v>
      </c>
      <c r="R42" s="6">
        <f t="shared" si="1"/>
        <v>7.483906877590238</v>
      </c>
      <c r="S42" s="1">
        <f>_XLL.TEMPERATURE('simple Brayton Cycle'!$A$10,"Ps",Q42,R42)+273.15</f>
        <v>738.9239518926775</v>
      </c>
      <c r="U42" s="8">
        <f t="shared" si="9"/>
        <v>6.89695518360114</v>
      </c>
      <c r="V42">
        <f t="shared" si="6"/>
        <v>366.07246507019374</v>
      </c>
      <c r="Z42" s="8">
        <f t="shared" si="7"/>
        <v>7.507468372603681</v>
      </c>
      <c r="AA42">
        <f t="shared" si="8"/>
        <v>727.1544638875399</v>
      </c>
    </row>
    <row r="43" spans="2:27" ht="15">
      <c r="B43">
        <f t="shared" si="3"/>
        <v>320</v>
      </c>
      <c r="C43">
        <f>_XLL.ENTROPY('simple Brayton Cycle'!$A$10,"PT",'T-s diagr. data'!$C$5,'T-s diagr. data'!B43-273.15)</f>
        <v>6.9298397781301295</v>
      </c>
      <c r="E43">
        <f>_XLL.ENTROPY('simple Brayton Cycle'!$A$10,"PT",'T-s diagr. data'!$E$5,'T-s diagr. data'!B43-273.15)</f>
        <v>6.535680165910545</v>
      </c>
      <c r="G43" s="1">
        <f>G42+('simple Brayton Cycle'!$D$52-'simple Brayton Cycle'!$D$44)/100</f>
        <v>7.171967587481694</v>
      </c>
      <c r="H43" s="6">
        <f>_XLL.TEMPERATURE('simple Brayton Cycle'!$A$10,"Ps",'T-s diagr. data'!$E$5,'T-s diagr. data'!G43)+273.15</f>
        <v>596.6468727791246</v>
      </c>
      <c r="I43" s="6"/>
      <c r="J43" s="1">
        <f>J42-($J$8-'simple Brayton Cycle'!$D$33)/100</f>
        <v>7.3042172644833565</v>
      </c>
      <c r="K43" s="6">
        <f>_XLL.TEMPERATURE('simple Brayton Cycle'!$A$10,"Ps",'T-s diagr. data'!$C$5,'T-s diagr. data'!J43)+273.15</f>
        <v>463.2320505940779</v>
      </c>
      <c r="L43" s="6"/>
      <c r="M43">
        <f t="shared" si="4"/>
        <v>2.058450000000002</v>
      </c>
      <c r="N43" s="6">
        <f t="shared" si="0"/>
        <v>6.8418107413291445</v>
      </c>
      <c r="O43" s="1">
        <f>_XLL.TEMPERATURE('simple Brayton Cycle'!$A$10,"Ps",M43,N43)+273.15</f>
        <v>358.89253716885156</v>
      </c>
      <c r="Q43">
        <f t="shared" si="5"/>
        <v>2.9545500000000056</v>
      </c>
      <c r="R43" s="6">
        <f t="shared" si="1"/>
        <v>7.483906877590238</v>
      </c>
      <c r="S43" s="1">
        <f>_XLL.TEMPERATURE('simple Brayton Cycle'!$A$10,"Ps",Q43,R43)+273.15</f>
        <v>736.9567354617891</v>
      </c>
      <c r="U43" s="8">
        <f t="shared" si="9"/>
        <v>6.898577078962081</v>
      </c>
      <c r="V43">
        <f t="shared" si="6"/>
        <v>368.2172434546112</v>
      </c>
      <c r="Z43" s="8">
        <f t="shared" si="7"/>
        <v>7.508161357751135</v>
      </c>
      <c r="AA43">
        <f t="shared" si="8"/>
        <v>725.0663598842323</v>
      </c>
    </row>
    <row r="44" spans="2:27" ht="15">
      <c r="B44">
        <f t="shared" si="3"/>
        <v>322</v>
      </c>
      <c r="C44">
        <f>_XLL.ENTROPY('simple Brayton Cycle'!$A$10,"PT",'T-s diagr. data'!$C$5,'T-s diagr. data'!B44-273.15)</f>
        <v>6.936103258540274</v>
      </c>
      <c r="E44">
        <f>_XLL.ENTROPY('simple Brayton Cycle'!$A$10,"PT",'T-s diagr. data'!$E$5,'T-s diagr. data'!B44-273.15)</f>
        <v>6.54194364632069</v>
      </c>
      <c r="G44" s="1">
        <f>G43+('simple Brayton Cycle'!$D$52-'simple Brayton Cycle'!$D$44)/100</f>
        <v>7.176766653483364</v>
      </c>
      <c r="H44" s="6">
        <f>_XLL.TEMPERATURE('simple Brayton Cycle'!$A$10,"Ps",'T-s diagr. data'!$E$5,'T-s diagr. data'!G44)+273.15</f>
        <v>599.3807974802525</v>
      </c>
      <c r="I44" s="6"/>
      <c r="J44" s="1">
        <f>J43-($J$8-'simple Brayton Cycle'!$D$33)/100</f>
        <v>7.297103317973292</v>
      </c>
      <c r="K44" s="6">
        <f>_XLL.TEMPERATURE('simple Brayton Cycle'!$A$10,"Ps",'T-s diagr. data'!$C$5,'T-s diagr. data'!J44)+273.15</f>
        <v>460.0197018469938</v>
      </c>
      <c r="L44" s="6"/>
      <c r="M44">
        <f t="shared" si="4"/>
        <v>2.0883200000000017</v>
      </c>
      <c r="N44" s="6">
        <f t="shared" si="0"/>
        <v>6.8418107413291445</v>
      </c>
      <c r="O44" s="1">
        <f>_XLL.TEMPERATURE('simple Brayton Cycle'!$A$10,"Ps",M44,N44)+273.15</f>
        <v>360.3670681126427</v>
      </c>
      <c r="Q44">
        <f t="shared" si="5"/>
        <v>2.9246800000000057</v>
      </c>
      <c r="R44" s="6">
        <f t="shared" si="1"/>
        <v>7.483906877590238</v>
      </c>
      <c r="S44" s="1">
        <f>_XLL.TEMPERATURE('simple Brayton Cycle'!$A$10,"Ps",Q44,R44)+273.15</f>
        <v>734.9739719782041</v>
      </c>
      <c r="U44" s="8">
        <f t="shared" si="9"/>
        <v>6.900198974323022</v>
      </c>
      <c r="V44">
        <f t="shared" si="6"/>
        <v>370.36202183902867</v>
      </c>
      <c r="Z44" s="8">
        <f t="shared" si="7"/>
        <v>7.508854342898589</v>
      </c>
      <c r="AA44">
        <f t="shared" si="8"/>
        <v>722.9782558809246</v>
      </c>
    </row>
    <row r="45" spans="2:27" ht="15">
      <c r="B45">
        <f t="shared" si="3"/>
        <v>324</v>
      </c>
      <c r="C45">
        <f>_XLL.ENTROPY('simple Brayton Cycle'!$A$10,"PT",'T-s diagr. data'!$C$5,'T-s diagr. data'!B45-273.15)</f>
        <v>6.942328760725416</v>
      </c>
      <c r="E45">
        <f>_XLL.ENTROPY('simple Brayton Cycle'!$A$10,"PT",'T-s diagr. data'!$E$5,'T-s diagr. data'!B45-273.15)</f>
        <v>6.548169148505831</v>
      </c>
      <c r="G45" s="1">
        <f>G44+('simple Brayton Cycle'!$D$52-'simple Brayton Cycle'!$D$44)/100</f>
        <v>7.181565719485034</v>
      </c>
      <c r="H45" s="6">
        <f>_XLL.TEMPERATURE('simple Brayton Cycle'!$A$10,"Ps",'T-s diagr. data'!$E$5,'T-s diagr. data'!G45)+273.15</f>
        <v>602.1256250700948</v>
      </c>
      <c r="I45" s="6"/>
      <c r="J45" s="1">
        <f>J44-($J$8-'simple Brayton Cycle'!$D$33)/100</f>
        <v>7.289989371463228</v>
      </c>
      <c r="K45" s="6">
        <f>_XLL.TEMPERATURE('simple Brayton Cycle'!$A$10,"Ps",'T-s diagr. data'!$C$5,'T-s diagr. data'!J45)+273.15</f>
        <v>456.82795089042486</v>
      </c>
      <c r="L45" s="6"/>
      <c r="M45">
        <f t="shared" si="4"/>
        <v>2.1181900000000016</v>
      </c>
      <c r="N45" s="6">
        <f t="shared" si="0"/>
        <v>6.8418107413291445</v>
      </c>
      <c r="O45" s="1">
        <f>_XLL.TEMPERATURE('simple Brayton Cycle'!$A$10,"Ps",M45,N45)+273.15</f>
        <v>361.82637705999156</v>
      </c>
      <c r="Q45">
        <f t="shared" si="5"/>
        <v>2.894810000000006</v>
      </c>
      <c r="R45" s="6">
        <f t="shared" si="1"/>
        <v>7.483906877590238</v>
      </c>
      <c r="S45" s="1">
        <f>_XLL.TEMPERATURE('simple Brayton Cycle'!$A$10,"Ps",Q45,R45)+273.15</f>
        <v>732.9753817698688</v>
      </c>
      <c r="U45" s="8">
        <f t="shared" si="9"/>
        <v>6.901820869683963</v>
      </c>
      <c r="V45">
        <f t="shared" si="6"/>
        <v>372.50680022344613</v>
      </c>
      <c r="Z45" s="8">
        <f t="shared" si="7"/>
        <v>7.509547328046043</v>
      </c>
      <c r="AA45">
        <f t="shared" si="8"/>
        <v>720.890151877617</v>
      </c>
    </row>
    <row r="46" spans="2:27" ht="15">
      <c r="B46">
        <f t="shared" si="3"/>
        <v>326</v>
      </c>
      <c r="C46">
        <f>_XLL.ENTROPY('simple Brayton Cycle'!$A$10,"PT",'T-s diagr. data'!$C$5,'T-s diagr. data'!B46-273.15)</f>
        <v>6.948516774910481</v>
      </c>
      <c r="E46">
        <f>_XLL.ENTROPY('simple Brayton Cycle'!$A$10,"PT",'T-s diagr. data'!$E$5,'T-s diagr. data'!B46-273.15)</f>
        <v>6.554357162690895</v>
      </c>
      <c r="G46" s="1">
        <f>G45+('simple Brayton Cycle'!$D$52-'simple Brayton Cycle'!$D$44)/100</f>
        <v>7.186364785486704</v>
      </c>
      <c r="H46" s="6">
        <f>_XLL.TEMPERATURE('simple Brayton Cycle'!$A$10,"Ps",'T-s diagr. data'!$E$5,'T-s diagr. data'!G46)+273.15</f>
        <v>604.8813810035571</v>
      </c>
      <c r="I46" s="6"/>
      <c r="J46" s="1">
        <f>J45-($J$8-'simple Brayton Cycle'!$D$33)/100</f>
        <v>7.282875424953163</v>
      </c>
      <c r="K46" s="6">
        <f>_XLL.TEMPERATURE('simple Brayton Cycle'!$A$10,"Ps",'T-s diagr. data'!$C$5,'T-s diagr. data'!J46)+273.15</f>
        <v>453.6567053874811</v>
      </c>
      <c r="L46" s="6"/>
      <c r="M46">
        <f t="shared" si="4"/>
        <v>2.1480600000000014</v>
      </c>
      <c r="N46" s="6">
        <f t="shared" si="0"/>
        <v>6.8418107413291445</v>
      </c>
      <c r="O46" s="1">
        <f>_XLL.TEMPERATURE('simple Brayton Cycle'!$A$10,"Ps",M46,N46)+273.15</f>
        <v>363.2708284526116</v>
      </c>
      <c r="Q46">
        <f t="shared" si="5"/>
        <v>2.864940000000006</v>
      </c>
      <c r="R46" s="6">
        <f t="shared" si="1"/>
        <v>7.483906877590238</v>
      </c>
      <c r="S46" s="1">
        <f>_XLL.TEMPERATURE('simple Brayton Cycle'!$A$10,"Ps",Q46,R46)+273.15</f>
        <v>730.9606772423771</v>
      </c>
      <c r="U46" s="8">
        <f t="shared" si="9"/>
        <v>6.903442765044904</v>
      </c>
      <c r="V46">
        <f t="shared" si="6"/>
        <v>374.6515786078636</v>
      </c>
      <c r="Z46" s="8">
        <f t="shared" si="7"/>
        <v>7.510240313193497</v>
      </c>
      <c r="AA46">
        <f t="shared" si="8"/>
        <v>718.8020478743093</v>
      </c>
    </row>
    <row r="47" spans="2:27" ht="15">
      <c r="B47">
        <f t="shared" si="3"/>
        <v>328</v>
      </c>
      <c r="C47">
        <f>_XLL.ENTROPY('simple Brayton Cycle'!$A$10,"PT",'T-s diagr. data'!$C$5,'T-s diagr. data'!B47-273.15)</f>
        <v>6.954667782194312</v>
      </c>
      <c r="E47">
        <f>_XLL.ENTROPY('simple Brayton Cycle'!$A$10,"PT",'T-s diagr. data'!$E$5,'T-s diagr. data'!B47-273.15)</f>
        <v>6.560508169974727</v>
      </c>
      <c r="G47" s="1">
        <f>G46+('simple Brayton Cycle'!$D$52-'simple Brayton Cycle'!$D$44)/100</f>
        <v>7.1911638514883744</v>
      </c>
      <c r="H47" s="6">
        <f>_XLL.TEMPERATURE('simple Brayton Cycle'!$A$10,"Ps",'T-s diagr. data'!$E$5,'T-s diagr. data'!G47)+273.15</f>
        <v>607.6480907117495</v>
      </c>
      <c r="I47" s="6"/>
      <c r="J47" s="1">
        <f>J46-($J$8-'simple Brayton Cycle'!$D$33)/100</f>
        <v>7.275761478443099</v>
      </c>
      <c r="K47" s="6">
        <f>_XLL.TEMPERATURE('simple Brayton Cycle'!$A$10,"Ps",'T-s diagr. data'!$C$5,'T-s diagr. data'!J47)+273.15</f>
        <v>450.5058727781002</v>
      </c>
      <c r="L47" s="6"/>
      <c r="M47">
        <f t="shared" si="4"/>
        <v>2.1779300000000013</v>
      </c>
      <c r="N47" s="6">
        <f t="shared" si="0"/>
        <v>6.8418107413291445</v>
      </c>
      <c r="O47" s="1">
        <f>_XLL.TEMPERATURE('simple Brayton Cycle'!$A$10,"Ps",M47,N47)+273.15</f>
        <v>364.70077307310794</v>
      </c>
      <c r="Q47">
        <f t="shared" si="5"/>
        <v>2.835070000000006</v>
      </c>
      <c r="R47" s="6">
        <f t="shared" si="1"/>
        <v>7.483906877590238</v>
      </c>
      <c r="S47" s="1">
        <f>_XLL.TEMPERATURE('simple Brayton Cycle'!$A$10,"Ps",Q47,R47)+273.15</f>
        <v>728.9295625702405</v>
      </c>
      <c r="U47" s="8">
        <f t="shared" si="9"/>
        <v>6.905064660405845</v>
      </c>
      <c r="V47">
        <f t="shared" si="6"/>
        <v>376.79635699228106</v>
      </c>
      <c r="Z47" s="8">
        <f t="shared" si="7"/>
        <v>7.510933298340952</v>
      </c>
      <c r="AA47">
        <f t="shared" si="8"/>
        <v>716.7139438710017</v>
      </c>
    </row>
    <row r="48" spans="2:27" ht="15">
      <c r="B48">
        <f t="shared" si="3"/>
        <v>330</v>
      </c>
      <c r="C48">
        <f>_XLL.ENTROPY('simple Brayton Cycle'!$A$10,"PT",'T-s diagr. data'!$C$5,'T-s diagr. data'!B48-273.15)</f>
        <v>6.960782254771759</v>
      </c>
      <c r="E48">
        <f>_XLL.ENTROPY('simple Brayton Cycle'!$A$10,"PT",'T-s diagr. data'!$E$5,'T-s diagr. data'!B48-273.15)</f>
        <v>6.566622642552173</v>
      </c>
      <c r="G48" s="1">
        <f>G47+('simple Brayton Cycle'!$D$52-'simple Brayton Cycle'!$D$44)/100</f>
        <v>7.195962917490045</v>
      </c>
      <c r="H48" s="6">
        <f>_XLL.TEMPERATURE('simple Brayton Cycle'!$A$10,"Ps",'T-s diagr. data'!$E$5,'T-s diagr. data'!G48)+273.15</f>
        <v>610.4257796041118</v>
      </c>
      <c r="I48" s="6"/>
      <c r="J48" s="1">
        <f>J47-($J$8-'simple Brayton Cycle'!$D$33)/100</f>
        <v>7.268647531933034</v>
      </c>
      <c r="K48" s="6">
        <f>_XLL.TEMPERATURE('simple Brayton Cycle'!$A$10,"Ps",'T-s diagr. data'!$C$5,'T-s diagr. data'!J48)+273.15</f>
        <v>447.37536028499983</v>
      </c>
      <c r="L48" s="6"/>
      <c r="M48">
        <f t="shared" si="4"/>
        <v>2.207800000000001</v>
      </c>
      <c r="N48" s="6">
        <f t="shared" si="0"/>
        <v>6.8418107413291445</v>
      </c>
      <c r="O48" s="1">
        <f>_XLL.TEMPERATURE('simple Brayton Cycle'!$A$10,"Ps",M48,N48)+273.15</f>
        <v>366.1165486947458</v>
      </c>
      <c r="Q48">
        <f t="shared" si="5"/>
        <v>2.8052000000000064</v>
      </c>
      <c r="R48" s="6">
        <f t="shared" si="1"/>
        <v>7.483906877590238</v>
      </c>
      <c r="S48" s="1">
        <f>_XLL.TEMPERATURE('simple Brayton Cycle'!$A$10,"Ps",Q48,R48)+273.15</f>
        <v>726.8817333727266</v>
      </c>
      <c r="U48" s="8">
        <f t="shared" si="9"/>
        <v>6.906686555766786</v>
      </c>
      <c r="V48">
        <f t="shared" si="6"/>
        <v>378.9411353766985</v>
      </c>
      <c r="Z48" s="8">
        <f t="shared" si="7"/>
        <v>7.511626283488406</v>
      </c>
      <c r="AA48">
        <f t="shared" si="8"/>
        <v>714.625839867694</v>
      </c>
    </row>
    <row r="49" spans="2:27" ht="15">
      <c r="B49">
        <f t="shared" si="3"/>
        <v>332</v>
      </c>
      <c r="C49">
        <f>_XLL.ENTROPY('simple Brayton Cycle'!$A$10,"PT",'T-s diagr. data'!$C$5,'T-s diagr. data'!B49-273.15)</f>
        <v>6.966860656149082</v>
      </c>
      <c r="E49">
        <f>_XLL.ENTROPY('simple Brayton Cycle'!$A$10,"PT",'T-s diagr. data'!$E$5,'T-s diagr. data'!B49-273.15)</f>
        <v>6.572701043929498</v>
      </c>
      <c r="G49" s="1">
        <f>G48+('simple Brayton Cycle'!$D$52-'simple Brayton Cycle'!$D$44)/100</f>
        <v>7.200761983491715</v>
      </c>
      <c r="H49" s="6">
        <f>_XLL.TEMPERATURE('simple Brayton Cycle'!$A$10,"Ps",'T-s diagr. data'!$E$5,'T-s diagr. data'!G49)+273.15</f>
        <v>613.214473070596</v>
      </c>
      <c r="I49" s="6"/>
      <c r="J49" s="1">
        <f>J48-($J$8-'simple Brayton Cycle'!$D$33)/100</f>
        <v>7.26153358542297</v>
      </c>
      <c r="K49" s="6">
        <f>_XLL.TEMPERATURE('simple Brayton Cycle'!$A$10,"Ps",'T-s diagr. data'!$C$5,'T-s diagr. data'!J49)+273.15</f>
        <v>444.2650749198718</v>
      </c>
      <c r="L49" s="6"/>
      <c r="M49">
        <f t="shared" si="4"/>
        <v>2.237670000000001</v>
      </c>
      <c r="N49" s="6">
        <f t="shared" si="0"/>
        <v>6.8418107413291445</v>
      </c>
      <c r="O49" s="1">
        <f>_XLL.TEMPERATURE('simple Brayton Cycle'!$A$10,"Ps",M49,N49)+273.15</f>
        <v>367.51848084730136</v>
      </c>
      <c r="Q49">
        <f t="shared" si="5"/>
        <v>2.7753300000000065</v>
      </c>
      <c r="R49" s="6">
        <f t="shared" si="1"/>
        <v>7.483906877590238</v>
      </c>
      <c r="S49" s="1">
        <f>_XLL.TEMPERATURE('simple Brayton Cycle'!$A$10,"Ps",Q49,R49)+273.15</f>
        <v>724.8168763733693</v>
      </c>
      <c r="U49" s="8">
        <f t="shared" si="9"/>
        <v>6.908308451127727</v>
      </c>
      <c r="V49">
        <f t="shared" si="6"/>
        <v>381.085913761116</v>
      </c>
      <c r="Z49" s="8">
        <f t="shared" si="7"/>
        <v>7.51231926863586</v>
      </c>
      <c r="AA49">
        <f t="shared" si="8"/>
        <v>712.5377358643864</v>
      </c>
    </row>
    <row r="50" spans="2:27" ht="15">
      <c r="B50">
        <f t="shared" si="3"/>
        <v>334</v>
      </c>
      <c r="C50">
        <f>_XLL.ENTROPY('simple Brayton Cycle'!$A$10,"PT",'T-s diagr. data'!$C$5,'T-s diagr. data'!B50-273.15)</f>
        <v>6.972903441352862</v>
      </c>
      <c r="E50">
        <f>_XLL.ENTROPY('simple Brayton Cycle'!$A$10,"PT",'T-s diagr. data'!$E$5,'T-s diagr. data'!B50-273.15)</f>
        <v>6.578743829133279</v>
      </c>
      <c r="G50" s="1">
        <f>G49+('simple Brayton Cycle'!$D$52-'simple Brayton Cycle'!$D$44)/100</f>
        <v>7.205561049493385</v>
      </c>
      <c r="H50" s="6">
        <f>_XLL.TEMPERATURE('simple Brayton Cycle'!$A$10,"Ps",'T-s diagr. data'!$E$5,'T-s diagr. data'!G50)+273.15</f>
        <v>616.0141964839369</v>
      </c>
      <c r="I50" s="6"/>
      <c r="J50" s="1">
        <f>J49-($J$8-'simple Brayton Cycle'!$D$33)/100</f>
        <v>7.254419638912905</v>
      </c>
      <c r="K50" s="6">
        <f>_XLL.TEMPERATURE('simple Brayton Cycle'!$A$10,"Ps",'T-s diagr. data'!$C$5,'T-s diagr. data'!J50)+273.15</f>
        <v>441.1749234897949</v>
      </c>
      <c r="L50" s="6"/>
      <c r="M50">
        <f t="shared" si="4"/>
        <v>2.2675400000000008</v>
      </c>
      <c r="N50" s="6">
        <f t="shared" si="0"/>
        <v>6.8418107413291445</v>
      </c>
      <c r="O50" s="1">
        <f>_XLL.TEMPERATURE('simple Brayton Cycle'!$A$10,"Ps",M50,N50)+273.15</f>
        <v>368.9068828657703</v>
      </c>
      <c r="Q50">
        <f t="shared" si="5"/>
        <v>2.7454600000000067</v>
      </c>
      <c r="R50" s="6">
        <f t="shared" si="1"/>
        <v>7.483906877590238</v>
      </c>
      <c r="S50" s="1">
        <f>_XLL.TEMPERATURE('simple Brayton Cycle'!$A$10,"Ps",Q50,R50)+273.15</f>
        <v>722.7346690421368</v>
      </c>
      <c r="U50" s="8">
        <f t="shared" si="9"/>
        <v>6.909930346488668</v>
      </c>
      <c r="V50">
        <f t="shared" si="6"/>
        <v>383.23069214553345</v>
      </c>
      <c r="Z50" s="8">
        <f t="shared" si="7"/>
        <v>7.513012253783314</v>
      </c>
      <c r="AA50">
        <f t="shared" si="8"/>
        <v>710.4496318610787</v>
      </c>
    </row>
    <row r="51" spans="2:27" ht="15">
      <c r="B51">
        <f t="shared" si="3"/>
        <v>336</v>
      </c>
      <c r="C51">
        <f>_XLL.ENTROPY('simple Brayton Cycle'!$A$10,"PT",'T-s diagr. data'!$C$5,'T-s diagr. data'!B51-273.15)</f>
        <v>6.978911057132683</v>
      </c>
      <c r="E51">
        <f>_XLL.ENTROPY('simple Brayton Cycle'!$A$10,"PT",'T-s diagr. data'!$E$5,'T-s diagr. data'!B51-273.15)</f>
        <v>6.584751444913099</v>
      </c>
      <c r="G51" s="1">
        <f>G50+('simple Brayton Cycle'!$D$52-'simple Brayton Cycle'!$D$44)/100</f>
        <v>7.210360115495055</v>
      </c>
      <c r="H51" s="6">
        <f>_XLL.TEMPERATURE('simple Brayton Cycle'!$A$10,"Ps",'T-s diagr. data'!$E$5,'T-s diagr. data'!G51)+273.15</f>
        <v>618.8249752019957</v>
      </c>
      <c r="I51" s="6"/>
      <c r="J51" s="1">
        <f>J50-($J$8-'simple Brayton Cycle'!$D$33)/100</f>
        <v>7.247305692402841</v>
      </c>
      <c r="K51" s="6">
        <f>_XLL.TEMPERATURE('simple Brayton Cycle'!$A$10,"Ps",'T-s diagr. data'!$C$5,'T-s diagr. data'!J51)+273.15</f>
        <v>438.1048126038626</v>
      </c>
      <c r="L51" s="6"/>
      <c r="M51">
        <f t="shared" si="4"/>
        <v>2.2974100000000006</v>
      </c>
      <c r="N51" s="6">
        <f t="shared" si="0"/>
        <v>6.8418107413291445</v>
      </c>
      <c r="O51" s="1">
        <f>_XLL.TEMPERATURE('simple Brayton Cycle'!$A$10,"Ps",M51,N51)+273.15</f>
        <v>370.2820584584144</v>
      </c>
      <c r="Q51">
        <f t="shared" si="5"/>
        <v>2.715590000000007</v>
      </c>
      <c r="R51" s="6">
        <f t="shared" si="1"/>
        <v>7.483906877590238</v>
      </c>
      <c r="S51" s="1">
        <f>_XLL.TEMPERATURE('simple Brayton Cycle'!$A$10,"Ps",Q51,R51)+273.15</f>
        <v>720.6347792191378</v>
      </c>
      <c r="U51" s="8">
        <f t="shared" si="9"/>
        <v>6.911552241849609</v>
      </c>
      <c r="V51">
        <f t="shared" si="6"/>
        <v>385.3754705299509</v>
      </c>
      <c r="Z51" s="8">
        <f t="shared" si="7"/>
        <v>7.513705238930768</v>
      </c>
      <c r="AA51">
        <f t="shared" si="8"/>
        <v>708.3615278577711</v>
      </c>
    </row>
    <row r="52" spans="2:27" ht="15">
      <c r="B52">
        <f t="shared" si="3"/>
        <v>338</v>
      </c>
      <c r="C52">
        <f>_XLL.ENTROPY('simple Brayton Cycle'!$A$10,"PT",'T-s diagr. data'!$C$5,'T-s diagr. data'!B52-273.15)</f>
        <v>6.9848839421578175</v>
      </c>
      <c r="E52">
        <f>_XLL.ENTROPY('simple Brayton Cycle'!$A$10,"PT",'T-s diagr. data'!$E$5,'T-s diagr. data'!B52-273.15)</f>
        <v>6.590724329938233</v>
      </c>
      <c r="G52" s="1">
        <f>G51+('simple Brayton Cycle'!$D$52-'simple Brayton Cycle'!$D$44)/100</f>
        <v>7.215159181496725</v>
      </c>
      <c r="H52" s="6">
        <f>_XLL.TEMPERATURE('simple Brayton Cycle'!$A$10,"Ps",'T-s diagr. data'!$E$5,'T-s diagr. data'!G52)+273.15</f>
        <v>621.646834570178</v>
      </c>
      <c r="I52" s="6"/>
      <c r="J52" s="1">
        <f>J51-($J$8-'simple Brayton Cycle'!$D$33)/100</f>
        <v>7.240191745892776</v>
      </c>
      <c r="K52" s="6">
        <f>_XLL.TEMPERATURE('simple Brayton Cycle'!$A$10,"Ps",'T-s diagr. data'!$C$5,'T-s diagr. data'!J52)+273.15</f>
        <v>435.0546484608584</v>
      </c>
      <c r="L52" s="6"/>
      <c r="M52">
        <f t="shared" si="4"/>
        <v>2.3272800000000005</v>
      </c>
      <c r="N52" s="6">
        <f t="shared" si="0"/>
        <v>6.8418107413291445</v>
      </c>
      <c r="O52" s="1">
        <f>_XLL.TEMPERATURE('simple Brayton Cycle'!$A$10,"Ps",M52,N52)+273.15</f>
        <v>371.64429924020595</v>
      </c>
      <c r="Q52">
        <f t="shared" si="5"/>
        <v>2.685720000000007</v>
      </c>
      <c r="R52" s="6">
        <f t="shared" si="1"/>
        <v>7.483906877590238</v>
      </c>
      <c r="S52" s="1">
        <f>_XLL.TEMPERATURE('simple Brayton Cycle'!$A$10,"Ps",Q52,R52)+273.15</f>
        <v>718.5168647187598</v>
      </c>
      <c r="U52" s="8">
        <f t="shared" si="9"/>
        <v>6.91317413721055</v>
      </c>
      <c r="V52">
        <f t="shared" si="6"/>
        <v>387.5202489143684</v>
      </c>
      <c r="Z52" s="8">
        <f t="shared" si="7"/>
        <v>7.5143982240782226</v>
      </c>
      <c r="AA52">
        <f t="shared" si="8"/>
        <v>706.2734238544634</v>
      </c>
    </row>
    <row r="53" spans="2:27" ht="15">
      <c r="B53">
        <f t="shared" si="3"/>
        <v>340</v>
      </c>
      <c r="C53">
        <f>_XLL.ENTROPY('simple Brayton Cycle'!$A$10,"PT",'T-s diagr. data'!$C$5,'T-s diagr. data'!B53-273.15)</f>
        <v>6.990822527208076</v>
      </c>
      <c r="E53">
        <f>_XLL.ENTROPY('simple Brayton Cycle'!$A$10,"PT",'T-s diagr. data'!$E$5,'T-s diagr. data'!B53-273.15)</f>
        <v>6.596662914988492</v>
      </c>
      <c r="G53" s="1">
        <f>G52+('simple Brayton Cycle'!$D$52-'simple Brayton Cycle'!$D$44)/100</f>
        <v>7.219958247498395</v>
      </c>
      <c r="H53" s="6">
        <f>_XLL.TEMPERATURE('simple Brayton Cycle'!$A$10,"Ps",'T-s diagr. data'!$E$5,'T-s diagr. data'!G53)+273.15</f>
        <v>624.4797999239319</v>
      </c>
      <c r="I53" s="6"/>
      <c r="J53" s="1">
        <f>J52-($J$8-'simple Brayton Cycle'!$D$33)/100</f>
        <v>7.233077799382712</v>
      </c>
      <c r="K53" s="6">
        <f>_XLL.TEMPERATURE('simple Brayton Cycle'!$A$10,"Ps",'T-s diagr. data'!$C$5,'T-s diagr. data'!J53)+273.15</f>
        <v>432.0243379131794</v>
      </c>
      <c r="L53" s="6"/>
      <c r="M53">
        <f t="shared" si="4"/>
        <v>2.3571500000000003</v>
      </c>
      <c r="N53" s="6">
        <f t="shared" si="0"/>
        <v>6.8418107413291445</v>
      </c>
      <c r="O53" s="1">
        <f>_XLL.TEMPERATURE('simple Brayton Cycle'!$A$10,"Ps",M53,N53)+273.15</f>
        <v>372.99388723421515</v>
      </c>
      <c r="Q53">
        <f t="shared" si="5"/>
        <v>2.655850000000007</v>
      </c>
      <c r="R53" s="6">
        <f t="shared" si="1"/>
        <v>7.483906877590238</v>
      </c>
      <c r="S53" s="1">
        <f>_XLL.TEMPERATURE('simple Brayton Cycle'!$A$10,"Ps",Q53,R53)+273.15</f>
        <v>716.3805729129409</v>
      </c>
      <c r="U53" s="8">
        <f t="shared" si="9"/>
        <v>6.914796032571491</v>
      </c>
      <c r="V53">
        <f t="shared" si="6"/>
        <v>389.66502729878584</v>
      </c>
      <c r="Z53" s="8">
        <f t="shared" si="7"/>
        <v>7.515091209225677</v>
      </c>
      <c r="AA53">
        <f t="shared" si="8"/>
        <v>704.1853198511558</v>
      </c>
    </row>
    <row r="54" spans="2:27" ht="15">
      <c r="B54">
        <f t="shared" si="3"/>
        <v>342</v>
      </c>
      <c r="C54">
        <f>_XLL.ENTROPY('simple Brayton Cycle'!$A$10,"PT",'T-s diagr. data'!$C$5,'T-s diagr. data'!B54-273.15)</f>
        <v>6.996727235359094</v>
      </c>
      <c r="E54">
        <f>_XLL.ENTROPY('simple Brayton Cycle'!$A$10,"PT",'T-s diagr. data'!$E$5,'T-s diagr. data'!B54-273.15)</f>
        <v>6.60256762313951</v>
      </c>
      <c r="G54" s="1">
        <f>G53+('simple Brayton Cycle'!$D$52-'simple Brayton Cycle'!$D$44)/100</f>
        <v>7.224757313500065</v>
      </c>
      <c r="H54" s="6">
        <f>_XLL.TEMPERATURE('simple Brayton Cycle'!$A$10,"Ps",'T-s diagr. data'!$E$5,'T-s diagr. data'!G54)+273.15</f>
        <v>627.3238965913305</v>
      </c>
      <c r="I54" s="6"/>
      <c r="J54" s="1">
        <f>J53-($J$8-'simple Brayton Cycle'!$D$33)/100</f>
        <v>7.225963852872647</v>
      </c>
      <c r="K54" s="6">
        <f>_XLL.TEMPERATURE('simple Brayton Cycle'!$A$10,"Ps",'T-s diagr. data'!$C$5,'T-s diagr. data'!J54)+273.15</f>
        <v>429.0137864752721</v>
      </c>
      <c r="L54" s="6"/>
      <c r="M54">
        <f t="shared" si="4"/>
        <v>2.38702</v>
      </c>
      <c r="N54" s="6">
        <f t="shared" si="0"/>
        <v>6.8418107413291445</v>
      </c>
      <c r="O54" s="1">
        <f>_XLL.TEMPERATURE('simple Brayton Cycle'!$A$10,"Ps",M54,N54)+273.15</f>
        <v>374.33109484321915</v>
      </c>
      <c r="Q54">
        <f t="shared" si="5"/>
        <v>2.6259800000000073</v>
      </c>
      <c r="R54" s="6">
        <f t="shared" si="1"/>
        <v>7.483906877590238</v>
      </c>
      <c r="S54" s="1">
        <f>_XLL.TEMPERATURE('simple Brayton Cycle'!$A$10,"Ps",Q54,R54)+273.15</f>
        <v>714.2255402922666</v>
      </c>
      <c r="U54" s="8">
        <f t="shared" si="9"/>
        <v>6.916417927932432</v>
      </c>
      <c r="V54">
        <f t="shared" si="6"/>
        <v>391.8098056832033</v>
      </c>
      <c r="Z54" s="8">
        <f t="shared" si="7"/>
        <v>7.515784194373131</v>
      </c>
      <c r="AA54">
        <f t="shared" si="8"/>
        <v>702.0972158478481</v>
      </c>
    </row>
    <row r="55" spans="2:27" ht="15">
      <c r="B55">
        <f t="shared" si="3"/>
        <v>344</v>
      </c>
      <c r="C55">
        <f>_XLL.ENTROPY('simple Brayton Cycle'!$A$10,"PT",'T-s diagr. data'!$C$5,'T-s diagr. data'!B55-273.15)</f>
        <v>7.002598482162192</v>
      </c>
      <c r="E55">
        <f>_XLL.ENTROPY('simple Brayton Cycle'!$A$10,"PT",'T-s diagr. data'!$E$5,'T-s diagr. data'!B55-273.15)</f>
        <v>6.608438869942607</v>
      </c>
      <c r="G55" s="1">
        <f>G54+('simple Brayton Cycle'!$D$52-'simple Brayton Cycle'!$D$44)/100</f>
        <v>7.2295563795017355</v>
      </c>
      <c r="H55" s="6">
        <f>_XLL.TEMPERATURE('simple Brayton Cycle'!$A$10,"Ps",'T-s diagr. data'!$E$5,'T-s diagr. data'!G55)+273.15</f>
        <v>630.1791498311019</v>
      </c>
      <c r="I55" s="6"/>
      <c r="J55" s="1">
        <f>J54-($J$8-'simple Brayton Cycle'!$D$33)/100</f>
        <v>7.218849906362583</v>
      </c>
      <c r="K55" s="6">
        <f>_XLL.TEMPERATURE('simple Brayton Cycle'!$A$10,"Ps",'T-s diagr. data'!$C$5,'T-s diagr. data'!J55)+273.15</f>
        <v>426.02290015092024</v>
      </c>
      <c r="L55" s="6"/>
      <c r="M55">
        <f t="shared" si="4"/>
        <v>2.41689</v>
      </c>
      <c r="N55" s="6">
        <f t="shared" si="0"/>
        <v>6.8418107413291445</v>
      </c>
      <c r="O55" s="1">
        <f>_XLL.TEMPERATURE('simple Brayton Cycle'!$A$10,"Ps",M55,N55)+273.15</f>
        <v>375.6561852936798</v>
      </c>
      <c r="Q55">
        <f t="shared" si="5"/>
        <v>2.5961100000000075</v>
      </c>
      <c r="R55" s="6">
        <f t="shared" si="1"/>
        <v>7.483906877590238</v>
      </c>
      <c r="S55" s="1">
        <f>_XLL.TEMPERATURE('simple Brayton Cycle'!$A$10,"Ps",Q55,R55)+273.15</f>
        <v>712.0513920034051</v>
      </c>
      <c r="U55" s="8">
        <f t="shared" si="9"/>
        <v>6.918039823293373</v>
      </c>
      <c r="V55">
        <f t="shared" si="6"/>
        <v>393.9545840676208</v>
      </c>
      <c r="Z55" s="8">
        <f t="shared" si="7"/>
        <v>7.516477179520585</v>
      </c>
      <c r="AA55">
        <f t="shared" si="8"/>
        <v>700.0091118445405</v>
      </c>
    </row>
    <row r="56" spans="2:27" ht="15">
      <c r="B56">
        <f t="shared" si="3"/>
        <v>346</v>
      </c>
      <c r="C56">
        <f>_XLL.ENTROPY('simple Brayton Cycle'!$A$10,"PT",'T-s diagr. data'!$C$5,'T-s diagr. data'!B56-273.15)</f>
        <v>7.008436675819038</v>
      </c>
      <c r="E56">
        <f>_XLL.ENTROPY('simple Brayton Cycle'!$A$10,"PT",'T-s diagr. data'!$E$5,'T-s diagr. data'!B56-273.15)</f>
        <v>6.614277063599454</v>
      </c>
      <c r="G56" s="1">
        <f>G55+('simple Brayton Cycle'!$D$52-'simple Brayton Cycle'!$D$44)/100</f>
        <v>7.234355445503406</v>
      </c>
      <c r="H56" s="6">
        <f>_XLL.TEMPERATURE('simple Brayton Cycle'!$A$10,"Ps",'T-s diagr. data'!$E$5,'T-s diagr. data'!G56)+273.15</f>
        <v>633.045585036773</v>
      </c>
      <c r="I56" s="6"/>
      <c r="J56" s="1">
        <f>J55-($J$8-'simple Brayton Cycle'!$D$33)/100</f>
        <v>7.211735959852518</v>
      </c>
      <c r="K56" s="6">
        <f>_XLL.TEMPERATURE('simple Brayton Cycle'!$A$10,"Ps",'T-s diagr. data'!$C$5,'T-s diagr. data'!J56)+273.15</f>
        <v>423.05158467204774</v>
      </c>
      <c r="L56" s="6"/>
      <c r="M56">
        <f t="shared" si="4"/>
        <v>2.44676</v>
      </c>
      <c r="N56" s="6">
        <f t="shared" si="0"/>
        <v>6.8418107413291445</v>
      </c>
      <c r="O56" s="1">
        <f>_XLL.TEMPERATURE('simple Brayton Cycle'!$A$10,"Ps",M56,N56)+273.15</f>
        <v>376.96941305400395</v>
      </c>
      <c r="Q56">
        <f t="shared" si="5"/>
        <v>2.5662400000000076</v>
      </c>
      <c r="R56" s="6">
        <f t="shared" si="1"/>
        <v>7.483906877590238</v>
      </c>
      <c r="S56" s="1">
        <f>_XLL.TEMPERATURE('simple Brayton Cycle'!$A$10,"Ps",Q56,R56)+273.15</f>
        <v>709.8577413613729</v>
      </c>
      <c r="U56" s="8">
        <f t="shared" si="9"/>
        <v>6.919661718654314</v>
      </c>
      <c r="V56">
        <f t="shared" si="6"/>
        <v>396.09936245203824</v>
      </c>
      <c r="Z56" s="8">
        <f t="shared" si="7"/>
        <v>7.517170164668039</v>
      </c>
      <c r="AA56">
        <f t="shared" si="8"/>
        <v>697.9210078412328</v>
      </c>
    </row>
    <row r="57" spans="2:27" ht="15">
      <c r="B57">
        <f t="shared" si="3"/>
        <v>348</v>
      </c>
      <c r="C57">
        <f>_XLL.ENTROPY('simple Brayton Cycle'!$A$10,"PT",'T-s diagr. data'!$C$5,'T-s diagr. data'!B57-273.15)</f>
        <v>7.014242217351263</v>
      </c>
      <c r="E57">
        <f>_XLL.ENTROPY('simple Brayton Cycle'!$A$10,"PT",'T-s diagr. data'!$E$5,'T-s diagr. data'!B57-273.15)</f>
        <v>6.620082605131678</v>
      </c>
      <c r="G57" s="1">
        <f>G56+('simple Brayton Cycle'!$D$52-'simple Brayton Cycle'!$D$44)/100</f>
        <v>7.239154511505076</v>
      </c>
      <c r="H57" s="6">
        <f>_XLL.TEMPERATURE('simple Brayton Cycle'!$A$10,"Ps",'T-s diagr. data'!$E$5,'T-s diagr. data'!G57)+273.15</f>
        <v>635.9232275302627</v>
      </c>
      <c r="I57" s="6"/>
      <c r="J57" s="1">
        <f>J56-($J$8-'simple Brayton Cycle'!$D$33)/100</f>
        <v>7.204622013342454</v>
      </c>
      <c r="K57" s="6">
        <f>_XLL.TEMPERATURE('simple Brayton Cycle'!$A$10,"Ps",'T-s diagr. data'!$C$5,'T-s diagr. data'!J57)+273.15</f>
        <v>420.0997456386875</v>
      </c>
      <c r="L57" s="6"/>
      <c r="M57">
        <f t="shared" si="4"/>
        <v>2.4766299999999997</v>
      </c>
      <c r="N57" s="6">
        <f t="shared" si="0"/>
        <v>6.8418107413291445</v>
      </c>
      <c r="O57" s="1">
        <f>_XLL.TEMPERATURE('simple Brayton Cycle'!$A$10,"Ps",M57,N57)+273.15</f>
        <v>378.2710242288852</v>
      </c>
      <c r="Q57">
        <f t="shared" si="5"/>
        <v>2.536370000000008</v>
      </c>
      <c r="R57" s="6">
        <f t="shared" si="1"/>
        <v>7.483906877590238</v>
      </c>
      <c r="S57" s="1">
        <f>_XLL.TEMPERATURE('simple Brayton Cycle'!$A$10,"Ps",Q57,R57)+273.15</f>
        <v>707.6441893348889</v>
      </c>
      <c r="U57" s="8">
        <f t="shared" si="9"/>
        <v>6.921283614015255</v>
      </c>
      <c r="V57">
        <f t="shared" si="6"/>
        <v>398.2441408364557</v>
      </c>
      <c r="Z57" s="8">
        <f t="shared" si="7"/>
        <v>7.5178631498154935</v>
      </c>
      <c r="AA57">
        <f t="shared" si="8"/>
        <v>695.8329038379252</v>
      </c>
    </row>
    <row r="58" spans="2:27" ht="15">
      <c r="B58">
        <f t="shared" si="3"/>
        <v>350</v>
      </c>
      <c r="C58">
        <f>_XLL.ENTROPY('simple Brayton Cycle'!$A$10,"PT",'T-s diagr. data'!$C$5,'T-s diagr. data'!B58-273.15)</f>
        <v>7.020015500765226</v>
      </c>
      <c r="E58">
        <f>_XLL.ENTROPY('simple Brayton Cycle'!$A$10,"PT",'T-s diagr. data'!$E$5,'T-s diagr. data'!B58-273.15)</f>
        <v>6.625855888545641</v>
      </c>
      <c r="G58" s="1">
        <f>G57+('simple Brayton Cycle'!$D$52-'simple Brayton Cycle'!$D$44)/100</f>
        <v>7.243953577506746</v>
      </c>
      <c r="H58" s="6">
        <f>_XLL.TEMPERATURE('simple Brayton Cycle'!$A$10,"Ps",'T-s diagr. data'!$E$5,'T-s diagr. data'!G58)+273.15</f>
        <v>638.8121026366438</v>
      </c>
      <c r="I58" s="6"/>
      <c r="J58" s="1">
        <f>J57-($J$8-'simple Brayton Cycle'!$D$33)/100</f>
        <v>7.197508066832389</v>
      </c>
      <c r="K58" s="6">
        <f>_XLL.TEMPERATURE('simple Brayton Cycle'!$A$10,"Ps",'T-s diagr. data'!$C$5,'T-s diagr. data'!J58)+273.15</f>
        <v>417.1672884661655</v>
      </c>
      <c r="L58" s="6"/>
      <c r="M58">
        <f t="shared" si="4"/>
        <v>2.5064999999999995</v>
      </c>
      <c r="N58" s="6">
        <f t="shared" si="0"/>
        <v>6.8418107413291445</v>
      </c>
      <c r="O58" s="1">
        <f>_XLL.TEMPERATURE('simple Brayton Cycle'!$A$10,"Ps",M58,N58)+273.15</f>
        <v>379.56125693136573</v>
      </c>
      <c r="Q58">
        <f t="shared" si="5"/>
        <v>2.506500000000008</v>
      </c>
      <c r="R58" s="6">
        <f t="shared" si="1"/>
        <v>7.483906877590238</v>
      </c>
      <c r="S58" s="1">
        <f>_XLL.TEMPERATURE('simple Brayton Cycle'!$A$10,"Ps",Q58,R58)+273.15</f>
        <v>705.4103240030588</v>
      </c>
      <c r="U58" s="8">
        <f t="shared" si="9"/>
        <v>6.922905509376196</v>
      </c>
      <c r="V58">
        <f t="shared" si="6"/>
        <v>400.38891922087316</v>
      </c>
      <c r="Z58" s="8">
        <f t="shared" si="7"/>
        <v>7.518556134962948</v>
      </c>
      <c r="AA58">
        <f t="shared" si="8"/>
        <v>693.7447998346175</v>
      </c>
    </row>
    <row r="59" spans="2:27" ht="15">
      <c r="B59">
        <f t="shared" si="3"/>
        <v>352</v>
      </c>
      <c r="C59">
        <f>_XLL.ENTROPY('simple Brayton Cycle'!$A$10,"PT",'T-s diagr. data'!$C$5,'T-s diagr. data'!B59-273.15)</f>
        <v>7.025756913212089</v>
      </c>
      <c r="E59">
        <f>_XLL.ENTROPY('simple Brayton Cycle'!$A$10,"PT",'T-s diagr. data'!$E$5,'T-s diagr. data'!B59-273.15)</f>
        <v>6.631597300992507</v>
      </c>
      <c r="G59" s="1">
        <f>G58+('simple Brayton Cycle'!$D$52-'simple Brayton Cycle'!$D$44)/100</f>
        <v>7.248752643508416</v>
      </c>
      <c r="H59" s="6">
        <f>_XLL.TEMPERATURE('simple Brayton Cycle'!$A$10,"Ps",'T-s diagr. data'!$E$5,'T-s diagr. data'!G59)+273.15</f>
        <v>641.7122361878214</v>
      </c>
      <c r="I59" s="6"/>
      <c r="J59" s="1">
        <f>J58-($J$8-'simple Brayton Cycle'!$D$33)/100</f>
        <v>7.190394120322325</v>
      </c>
      <c r="K59" s="6">
        <f>_XLL.TEMPERATURE('simple Brayton Cycle'!$A$10,"Ps",'T-s diagr. data'!$C$5,'T-s diagr. data'!J59)+273.15</f>
        <v>414.2541184404259</v>
      </c>
      <c r="L59" s="6"/>
      <c r="M59">
        <f t="shared" si="4"/>
        <v>2.5363699999999993</v>
      </c>
      <c r="N59" s="6">
        <f t="shared" si="0"/>
        <v>6.8418107413291445</v>
      </c>
      <c r="O59" s="1">
        <f>_XLL.TEMPERATURE('simple Brayton Cycle'!$A$10,"Ps",M59,N59)+273.15</f>
        <v>380.8403416341258</v>
      </c>
      <c r="Q59">
        <f t="shared" si="5"/>
        <v>2.476630000000008</v>
      </c>
      <c r="R59" s="6">
        <f t="shared" si="1"/>
        <v>7.483906877590238</v>
      </c>
      <c r="S59" s="1">
        <f>_XLL.TEMPERATURE('simple Brayton Cycle'!$A$10,"Ps",Q59,R59)+273.15</f>
        <v>703.1557199813795</v>
      </c>
      <c r="U59" s="8">
        <f t="shared" si="9"/>
        <v>6.9245274047371375</v>
      </c>
      <c r="V59">
        <f t="shared" si="6"/>
        <v>402.5336976052906</v>
      </c>
      <c r="Z59" s="8">
        <f t="shared" si="7"/>
        <v>7.519249120110402</v>
      </c>
      <c r="AA59">
        <f t="shared" si="8"/>
        <v>691.6566958313099</v>
      </c>
    </row>
    <row r="60" spans="2:27" ht="15">
      <c r="B60">
        <f t="shared" si="3"/>
        <v>354</v>
      </c>
      <c r="C60">
        <f>_XLL.ENTROPY('simple Brayton Cycle'!$A$10,"PT",'T-s diagr. data'!$C$5,'T-s diagr. data'!B60-273.15)</f>
        <v>7.0314668351433465</v>
      </c>
      <c r="E60">
        <f>_XLL.ENTROPY('simple Brayton Cycle'!$A$10,"PT",'T-s diagr. data'!$E$5,'T-s diagr. data'!B60-273.15)</f>
        <v>6.637307222923761</v>
      </c>
      <c r="G60" s="1">
        <f>G59+('simple Brayton Cycle'!$D$52-'simple Brayton Cycle'!$D$44)/100</f>
        <v>7.253551709510086</v>
      </c>
      <c r="H60" s="6">
        <f>_XLL.TEMPERATURE('simple Brayton Cycle'!$A$10,"Ps",'T-s diagr. data'!$E$5,'T-s diagr. data'!G60)+273.15</f>
        <v>644.6236525255946</v>
      </c>
      <c r="I60" s="6"/>
      <c r="J60" s="1">
        <f>J59-($J$8-'simple Brayton Cycle'!$D$33)/100</f>
        <v>7.1832801738122605</v>
      </c>
      <c r="K60" s="6">
        <f>_XLL.TEMPERATURE('simple Brayton Cycle'!$A$10,"Ps",'T-s diagr. data'!$C$5,'T-s diagr. data'!J60)+273.15</f>
        <v>411.3601407169512</v>
      </c>
      <c r="L60" s="6"/>
      <c r="M60">
        <f t="shared" si="4"/>
        <v>2.566239999999999</v>
      </c>
      <c r="N60" s="6">
        <f t="shared" si="0"/>
        <v>6.8418107413291445</v>
      </c>
      <c r="O60" s="1">
        <f>_XLL.TEMPERATURE('simple Brayton Cycle'!$A$10,"Ps",M60,N60)+273.15</f>
        <v>382.1085015013789</v>
      </c>
      <c r="Q60">
        <f t="shared" si="5"/>
        <v>2.4467600000000083</v>
      </c>
      <c r="R60" s="6">
        <f t="shared" si="1"/>
        <v>7.483906877590238</v>
      </c>
      <c r="S60" s="1">
        <f>_XLL.TEMPERATURE('simple Brayton Cycle'!$A$10,"Ps",Q60,R60)+273.15</f>
        <v>700.8799378149813</v>
      </c>
      <c r="U60" s="8">
        <f t="shared" si="9"/>
        <v>6.9261493000980785</v>
      </c>
      <c r="V60">
        <f t="shared" si="6"/>
        <v>404.6784759897081</v>
      </c>
      <c r="Z60" s="8">
        <f t="shared" si="7"/>
        <v>7.519942105257856</v>
      </c>
      <c r="AA60">
        <f t="shared" si="8"/>
        <v>689.5685918280022</v>
      </c>
    </row>
    <row r="61" spans="2:27" ht="15">
      <c r="B61">
        <f t="shared" si="3"/>
        <v>356</v>
      </c>
      <c r="C61">
        <f>_XLL.ENTROPY('simple Brayton Cycle'!$A$10,"PT",'T-s diagr. data'!$C$5,'T-s diagr. data'!B61-273.15)</f>
        <v>7.037145640461963</v>
      </c>
      <c r="E61">
        <f>_XLL.ENTROPY('simple Brayton Cycle'!$A$10,"PT",'T-s diagr. data'!$E$5,'T-s diagr. data'!B61-273.15)</f>
        <v>6.642986028242377</v>
      </c>
      <c r="G61" s="1">
        <f>G60+('simple Brayton Cycle'!$D$52-'simple Brayton Cycle'!$D$44)/100</f>
        <v>7.258350775511756</v>
      </c>
      <c r="H61" s="6">
        <f>_XLL.TEMPERATURE('simple Brayton Cycle'!$A$10,"Ps",'T-s diagr. data'!$E$5,'T-s diagr. data'!G61)+273.15</f>
        <v>647.5463775048046</v>
      </c>
      <c r="I61" s="6"/>
      <c r="J61" s="1">
        <f>J60-($J$8-'simple Brayton Cycle'!$D$33)/100</f>
        <v>7.176166227302196</v>
      </c>
      <c r="K61" s="6">
        <f>_XLL.TEMPERATURE('simple Brayton Cycle'!$A$10,"Ps",'T-s diagr. data'!$C$5,'T-s diagr. data'!J61)+273.15</f>
        <v>408.48526032894785</v>
      </c>
      <c r="L61" s="6"/>
      <c r="M61">
        <f t="shared" si="4"/>
        <v>2.596109999999999</v>
      </c>
      <c r="N61" s="6">
        <f t="shared" si="0"/>
        <v>6.8418107413291445</v>
      </c>
      <c r="O61" s="1">
        <f>_XLL.TEMPERATURE('simple Brayton Cycle'!$A$10,"Ps",M61,N61)+273.15</f>
        <v>383.36595270267986</v>
      </c>
      <c r="Q61">
        <f t="shared" si="5"/>
        <v>2.4168900000000084</v>
      </c>
      <c r="R61" s="6">
        <f t="shared" si="1"/>
        <v>7.483906877590238</v>
      </c>
      <c r="S61" s="1">
        <f>_XLL.TEMPERATURE('simple Brayton Cycle'!$A$10,"Ps",Q61,R61)+273.15</f>
        <v>698.5825233367882</v>
      </c>
      <c r="U61" s="8">
        <f t="shared" si="9"/>
        <v>6.9277711954590195</v>
      </c>
      <c r="V61">
        <f t="shared" si="6"/>
        <v>406.82325437412555</v>
      </c>
      <c r="Z61" s="8">
        <f t="shared" si="7"/>
        <v>7.52063509040531</v>
      </c>
      <c r="AA61">
        <f t="shared" si="8"/>
        <v>687.4804878246946</v>
      </c>
    </row>
    <row r="62" spans="2:27" ht="15">
      <c r="B62">
        <f t="shared" si="3"/>
        <v>358</v>
      </c>
      <c r="C62">
        <f>_XLL.ENTROPY('simple Brayton Cycle'!$A$10,"PT",'T-s diagr. data'!$C$5,'T-s diagr. data'!B62-273.15)</f>
        <v>7.042793696669316</v>
      </c>
      <c r="E62">
        <f>_XLL.ENTROPY('simple Brayton Cycle'!$A$10,"PT",'T-s diagr. data'!$E$5,'T-s diagr. data'!B62-273.15)</f>
        <v>6.648634084449732</v>
      </c>
      <c r="G62" s="1">
        <f>G61+('simple Brayton Cycle'!$D$52-'simple Brayton Cycle'!$D$44)/100</f>
        <v>7.263149841513426</v>
      </c>
      <c r="H62" s="6">
        <f>_XLL.TEMPERATURE('simple Brayton Cycle'!$A$10,"Ps",'T-s diagr. data'!$E$5,'T-s diagr. data'!G62)+273.15</f>
        <v>650.4804364965535</v>
      </c>
      <c r="I62" s="6"/>
      <c r="J62" s="1">
        <f>J61-($J$8-'simple Brayton Cycle'!$D$33)/100</f>
        <v>7.1690522807921315</v>
      </c>
      <c r="K62" s="6">
        <f>_XLL.TEMPERATURE('simple Brayton Cycle'!$A$10,"Ps",'T-s diagr. data'!$C$5,'T-s diagr. data'!J62)+273.15</f>
        <v>405.62938219562426</v>
      </c>
      <c r="L62" s="6"/>
      <c r="M62">
        <f t="shared" si="4"/>
        <v>2.625979999999999</v>
      </c>
      <c r="N62" s="6">
        <f t="shared" si="0"/>
        <v>6.8418107413291445</v>
      </c>
      <c r="O62" s="1">
        <f>_XLL.TEMPERATURE('simple Brayton Cycle'!$A$10,"Ps",M62,N62)+273.15</f>
        <v>384.6129047098055</v>
      </c>
      <c r="Q62">
        <f t="shared" si="5"/>
        <v>2.3870200000000086</v>
      </c>
      <c r="R62" s="6">
        <f t="shared" si="1"/>
        <v>7.483906877590238</v>
      </c>
      <c r="S62" s="1">
        <f>_XLL.TEMPERATURE('simple Brayton Cycle'!$A$10,"Ps",Q62,R62)+273.15</f>
        <v>696.2630069881131</v>
      </c>
      <c r="U62" s="8">
        <f t="shared" si="9"/>
        <v>6.929393090819961</v>
      </c>
      <c r="V62">
        <f t="shared" si="6"/>
        <v>408.968032758543</v>
      </c>
      <c r="Z62" s="8">
        <f t="shared" si="7"/>
        <v>7.5213280755527645</v>
      </c>
      <c r="AA62">
        <f t="shared" si="8"/>
        <v>685.3923838213869</v>
      </c>
    </row>
    <row r="63" spans="2:27" ht="15">
      <c r="B63">
        <f t="shared" si="3"/>
        <v>360</v>
      </c>
      <c r="C63">
        <f>_XLL.ENTROPY('simple Brayton Cycle'!$A$10,"PT",'T-s diagr. data'!$C$5,'T-s diagr. data'!B63-273.15)</f>
        <v>7.048411365008004</v>
      </c>
      <c r="E63">
        <f>_XLL.ENTROPY('simple Brayton Cycle'!$A$10,"PT",'T-s diagr. data'!$E$5,'T-s diagr. data'!B63-273.15)</f>
        <v>6.65425175278842</v>
      </c>
      <c r="G63" s="1">
        <f>G62+('simple Brayton Cycle'!$D$52-'simple Brayton Cycle'!$D$44)/100</f>
        <v>7.2679489075150965</v>
      </c>
      <c r="H63" s="6">
        <f>_XLL.TEMPERATURE('simple Brayton Cycle'!$A$10,"Ps",'T-s diagr. data'!$E$5,'T-s diagr. data'!G63)+273.15</f>
        <v>653.4258548915425</v>
      </c>
      <c r="I63" s="6"/>
      <c r="J63" s="1">
        <f>J62-($J$8-'simple Brayton Cycle'!$D$33)/100</f>
        <v>7.161938334282067</v>
      </c>
      <c r="K63" s="6">
        <f>_XLL.TEMPERATURE('simple Brayton Cycle'!$A$10,"Ps",'T-s diagr. data'!$C$5,'T-s diagr. data'!J63)+273.15</f>
        <v>402.7924111305512</v>
      </c>
      <c r="L63" s="6"/>
      <c r="M63">
        <f t="shared" si="4"/>
        <v>2.6558499999999987</v>
      </c>
      <c r="N63" s="6">
        <f t="shared" si="0"/>
        <v>6.8418107413291445</v>
      </c>
      <c r="O63" s="1">
        <f>_XLL.TEMPERATURE('simple Brayton Cycle'!$A$10,"Ps",M63,N63)+273.15</f>
        <v>385.84956057781005</v>
      </c>
      <c r="Q63">
        <f t="shared" si="5"/>
        <v>2.3571500000000087</v>
      </c>
      <c r="R63" s="6">
        <f t="shared" si="1"/>
        <v>7.483906877590238</v>
      </c>
      <c r="S63" s="1">
        <f>_XLL.TEMPERATURE('simple Brayton Cycle'!$A$10,"Ps",Q63,R63)+273.15</f>
        <v>693.9209030990133</v>
      </c>
      <c r="U63" s="8">
        <f t="shared" si="9"/>
        <v>6.931014986180902</v>
      </c>
      <c r="V63">
        <f t="shared" si="6"/>
        <v>411.1128111429605</v>
      </c>
      <c r="Z63" s="8">
        <f t="shared" si="7"/>
        <v>7.522021060700219</v>
      </c>
      <c r="AA63">
        <f t="shared" si="8"/>
        <v>683.3042798180793</v>
      </c>
    </row>
    <row r="64" spans="2:27" ht="15">
      <c r="B64">
        <f t="shared" si="3"/>
        <v>362</v>
      </c>
      <c r="C64">
        <f>_XLL.ENTROPY('simple Brayton Cycle'!$A$10,"PT",'T-s diagr. data'!$C$5,'T-s diagr. data'!B64-273.15)</f>
        <v>7.0539990006007285</v>
      </c>
      <c r="E64">
        <f>_XLL.ENTROPY('simple Brayton Cycle'!$A$10,"PT",'T-s diagr. data'!$E$5,'T-s diagr. data'!B64-273.15)</f>
        <v>6.659839388381142</v>
      </c>
      <c r="G64" s="1">
        <f>G63+('simple Brayton Cycle'!$D$52-'simple Brayton Cycle'!$D$44)/100</f>
        <v>7.272747973516767</v>
      </c>
      <c r="H64" s="6">
        <f>_XLL.TEMPERATURE('simple Brayton Cycle'!$A$10,"Ps",'T-s diagr. data'!$E$5,'T-s diagr. data'!G64)+273.15</f>
        <v>656.3826581034625</v>
      </c>
      <c r="I64" s="6"/>
      <c r="J64" s="1">
        <f>J63-($J$8-'simple Brayton Cycle'!$D$33)/100</f>
        <v>7.154824387772003</v>
      </c>
      <c r="K64" s="6">
        <f>_XLL.TEMPERATURE('simple Brayton Cycle'!$A$10,"Ps",'T-s diagr. data'!$C$5,'T-s diagr. data'!J64)+273.15</f>
        <v>399.97425185010815</v>
      </c>
      <c r="L64" s="6"/>
      <c r="M64">
        <f t="shared" si="4"/>
        <v>2.6857199999999986</v>
      </c>
      <c r="N64" s="6">
        <f t="shared" si="0"/>
        <v>6.8418107413291445</v>
      </c>
      <c r="O64" s="1">
        <f>_XLL.TEMPERATURE('simple Brayton Cycle'!$A$10,"Ps",M64,N64)+273.15</f>
        <v>387.07611721128006</v>
      </c>
      <c r="Q64">
        <f t="shared" si="5"/>
        <v>2.327280000000009</v>
      </c>
      <c r="R64" s="6">
        <f t="shared" si="1"/>
        <v>7.483906877590238</v>
      </c>
      <c r="S64" s="1">
        <f>_XLL.TEMPERATURE('simple Brayton Cycle'!$A$10,"Ps",Q64,R64)+273.15</f>
        <v>691.5557091254431</v>
      </c>
      <c r="U64" s="8">
        <f t="shared" si="9"/>
        <v>6.932636881541843</v>
      </c>
      <c r="V64">
        <f t="shared" si="6"/>
        <v>413.25758952737795</v>
      </c>
      <c r="Z64" s="8">
        <f t="shared" si="7"/>
        <v>7.522714045847673</v>
      </c>
      <c r="AA64">
        <f t="shared" si="8"/>
        <v>681.2161758147716</v>
      </c>
    </row>
    <row r="65" spans="2:27" ht="15">
      <c r="B65">
        <f t="shared" si="3"/>
        <v>364</v>
      </c>
      <c r="C65">
        <f>_XLL.ENTROPY('simple Brayton Cycle'!$A$10,"PT",'T-s diagr. data'!$C$5,'T-s diagr. data'!B65-273.15)</f>
        <v>7.059556952585319</v>
      </c>
      <c r="E65">
        <f>_XLL.ENTROPY('simple Brayton Cycle'!$A$10,"PT",'T-s diagr. data'!$E$5,'T-s diagr. data'!B65-273.15)</f>
        <v>6.665397340365733</v>
      </c>
      <c r="G65" s="1">
        <f>G64+('simple Brayton Cycle'!$D$52-'simple Brayton Cycle'!$D$44)/100</f>
        <v>7.277547039518437</v>
      </c>
      <c r="H65" s="6">
        <f>_XLL.TEMPERATURE('simple Brayton Cycle'!$A$10,"Ps",'T-s diagr. data'!$E$5,'T-s diagr. data'!G65)+273.15</f>
        <v>659.3508715725026</v>
      </c>
      <c r="I65" s="6"/>
      <c r="J65" s="1">
        <f>J64-($J$8-'simple Brayton Cycle'!$D$33)/100</f>
        <v>7.147710441261938</v>
      </c>
      <c r="K65" s="6">
        <f>_XLL.TEMPERATURE('simple Brayton Cycle'!$A$10,"Ps",'T-s diagr. data'!$C$5,'T-s diagr. data'!J65)+273.15</f>
        <v>397.1748089819891</v>
      </c>
      <c r="L65" s="6"/>
      <c r="M65">
        <f t="shared" si="4"/>
        <v>2.7155899999999984</v>
      </c>
      <c r="N65" s="6">
        <f t="shared" si="0"/>
        <v>6.8418107413291445</v>
      </c>
      <c r="O65" s="1">
        <f>_XLL.TEMPERATURE('simple Brayton Cycle'!$A$10,"Ps",M65,N65)+273.15</f>
        <v>388.29276561669303</v>
      </c>
      <c r="Q65">
        <f t="shared" si="5"/>
        <v>2.297410000000009</v>
      </c>
      <c r="R65" s="6">
        <f t="shared" si="1"/>
        <v>7.483906877590238</v>
      </c>
      <c r="S65" s="1">
        <f>_XLL.TEMPERATURE('simple Brayton Cycle'!$A$10,"Ps",Q65,R65)+273.15</f>
        <v>689.1669048400599</v>
      </c>
      <c r="U65" s="8">
        <f t="shared" si="9"/>
        <v>6.934258776902784</v>
      </c>
      <c r="V65">
        <f t="shared" si="6"/>
        <v>415.4023679117954</v>
      </c>
      <c r="Z65" s="8">
        <f t="shared" si="7"/>
        <v>7.523407030995127</v>
      </c>
      <c r="AA65">
        <f t="shared" si="8"/>
        <v>679.128071811464</v>
      </c>
    </row>
    <row r="66" spans="2:27" ht="15">
      <c r="B66">
        <f t="shared" si="3"/>
        <v>366</v>
      </c>
      <c r="C66">
        <f>_XLL.ENTROPY('simple Brayton Cycle'!$A$10,"PT",'T-s diagr. data'!$C$5,'T-s diagr. data'!B66-273.15)</f>
        <v>7.065085564246098</v>
      </c>
      <c r="E66">
        <f>_XLL.ENTROPY('simple Brayton Cycle'!$A$10,"PT",'T-s diagr. data'!$E$5,'T-s diagr. data'!B66-273.15)</f>
        <v>6.670925952026513</v>
      </c>
      <c r="G66" s="1">
        <f>G65+('simple Brayton Cycle'!$D$52-'simple Brayton Cycle'!$D$44)/100</f>
        <v>7.282346105520107</v>
      </c>
      <c r="H66" s="6">
        <f>_XLL.TEMPERATURE('simple Brayton Cycle'!$A$10,"Ps",'T-s diagr. data'!$E$5,'T-s diagr. data'!G66)+273.15</f>
        <v>662.3305207689319</v>
      </c>
      <c r="I66" s="6"/>
      <c r="J66" s="1">
        <f>J65-($J$8-'simple Brayton Cycle'!$D$33)/100</f>
        <v>7.140596494751874</v>
      </c>
      <c r="K66" s="6">
        <f>_XLL.TEMPERATURE('simple Brayton Cycle'!$A$10,"Ps",'T-s diagr. data'!$C$5,'T-s diagr. data'!J66)+273.15</f>
        <v>394.3939870737645</v>
      </c>
      <c r="L66" s="6"/>
      <c r="M66">
        <f t="shared" si="4"/>
        <v>2.7454599999999982</v>
      </c>
      <c r="N66" s="6">
        <f t="shared" si="0"/>
        <v>6.8418107413291445</v>
      </c>
      <c r="O66" s="1">
        <f>_XLL.TEMPERATURE('simple Brayton Cycle'!$A$10,"Ps",M66,N66)+273.15</f>
        <v>389.49969114178606</v>
      </c>
      <c r="Q66">
        <f t="shared" si="5"/>
        <v>2.267540000000009</v>
      </c>
      <c r="R66" s="6">
        <f t="shared" si="1"/>
        <v>7.483906877590238</v>
      </c>
      <c r="S66" s="1">
        <f>_XLL.TEMPERATURE('simple Brayton Cycle'!$A$10,"Ps",Q66,R66)+273.15</f>
        <v>686.7539514732048</v>
      </c>
      <c r="U66" s="8">
        <f t="shared" si="9"/>
        <v>6.935880672263725</v>
      </c>
      <c r="V66">
        <f t="shared" si="6"/>
        <v>417.5471462962129</v>
      </c>
      <c r="Z66" s="8">
        <f t="shared" si="7"/>
        <v>7.524100016142581</v>
      </c>
      <c r="AA66">
        <f t="shared" si="8"/>
        <v>677.0399678081563</v>
      </c>
    </row>
    <row r="67" spans="2:27" ht="15">
      <c r="B67">
        <f t="shared" si="3"/>
        <v>368</v>
      </c>
      <c r="C67">
        <f>_XLL.ENTROPY('simple Brayton Cycle'!$A$10,"PT",'T-s diagr. data'!$C$5,'T-s diagr. data'!B67-273.15)</f>
        <v>7.070585173141635</v>
      </c>
      <c r="E67">
        <f>_XLL.ENTROPY('simple Brayton Cycle'!$A$10,"PT",'T-s diagr. data'!$E$5,'T-s diagr. data'!B67-273.15)</f>
        <v>6.676425560922049</v>
      </c>
      <c r="G67" s="1">
        <f>G66+('simple Brayton Cycle'!$D$52-'simple Brayton Cycle'!$D$44)/100</f>
        <v>7.287145171521777</v>
      </c>
      <c r="H67" s="6">
        <f>_XLL.TEMPERATURE('simple Brayton Cycle'!$A$10,"Ps",'T-s diagr. data'!$E$5,'T-s diagr. data'!G67)+273.15</f>
        <v>665.3216311967773</v>
      </c>
      <c r="I67" s="6"/>
      <c r="J67" s="1">
        <f>J66-($J$8-'simple Brayton Cycle'!$D$33)/100</f>
        <v>7.133482548241809</v>
      </c>
      <c r="K67" s="6">
        <f>_XLL.TEMPERATURE('simple Brayton Cycle'!$A$10,"Ps",'T-s diagr. data'!$C$5,'T-s diagr. data'!J67)+273.15</f>
        <v>391.6316906014945</v>
      </c>
      <c r="L67" s="6"/>
      <c r="M67">
        <f t="shared" si="4"/>
        <v>2.775329999999998</v>
      </c>
      <c r="N67" s="6">
        <f t="shared" si="0"/>
        <v>6.8418107413291445</v>
      </c>
      <c r="O67" s="1">
        <f>_XLL.TEMPERATURE('simple Brayton Cycle'!$A$10,"Ps",M67,N67)+273.15</f>
        <v>390.6970737027093</v>
      </c>
      <c r="Q67">
        <f t="shared" si="5"/>
        <v>2.2376700000000094</v>
      </c>
      <c r="R67" s="6">
        <f t="shared" si="1"/>
        <v>7.483906877590238</v>
      </c>
      <c r="S67" s="1">
        <f>_XLL.TEMPERATURE('simple Brayton Cycle'!$A$10,"Ps",Q67,R67)+273.15</f>
        <v>684.3162908002944</v>
      </c>
      <c r="U67" s="8">
        <f t="shared" si="9"/>
        <v>6.937502567624666</v>
      </c>
      <c r="V67">
        <f t="shared" si="6"/>
        <v>419.69192468063034</v>
      </c>
      <c r="Z67" s="8">
        <f t="shared" si="7"/>
        <v>7.5247930012900355</v>
      </c>
      <c r="AA67">
        <f t="shared" si="8"/>
        <v>674.9518638048487</v>
      </c>
    </row>
    <row r="68" spans="2:27" ht="15">
      <c r="B68">
        <f t="shared" si="3"/>
        <v>370</v>
      </c>
      <c r="C68">
        <f>_XLL.ENTROPY('simple Brayton Cycle'!$A$10,"PT",'T-s diagr. data'!$C$5,'T-s diagr. data'!B68-273.15)</f>
        <v>7.076056111229043</v>
      </c>
      <c r="E68">
        <f>_XLL.ENTROPY('simple Brayton Cycle'!$A$10,"PT",'T-s diagr. data'!$E$5,'T-s diagr. data'!B68-273.15)</f>
        <v>6.681896499009457</v>
      </c>
      <c r="G68" s="1">
        <f>G67+('simple Brayton Cycle'!$D$52-'simple Brayton Cycle'!$D$44)/100</f>
        <v>7.291944237523447</v>
      </c>
      <c r="H68" s="6">
        <f>_XLL.TEMPERATURE('simple Brayton Cycle'!$A$10,"Ps",'T-s diagr. data'!$E$5,'T-s diagr. data'!G68)+273.15</f>
        <v>668.3242283975948</v>
      </c>
      <c r="I68" s="6"/>
      <c r="J68" s="1">
        <f>J67-($J$8-'simple Brayton Cycle'!$D$33)/100</f>
        <v>7.126368601731745</v>
      </c>
      <c r="K68" s="6">
        <f>_XLL.TEMPERATURE('simple Brayton Cycle'!$A$10,"Ps",'T-s diagr. data'!$C$5,'T-s diagr. data'!J68)+273.15</f>
        <v>388.88782397837707</v>
      </c>
      <c r="L68" s="6"/>
      <c r="M68">
        <f t="shared" si="4"/>
        <v>2.805199999999998</v>
      </c>
      <c r="N68" s="6">
        <f t="shared" si="0"/>
        <v>6.8418107413291445</v>
      </c>
      <c r="O68" s="1">
        <f>_XLL.TEMPERATURE('simple Brayton Cycle'!$A$10,"Ps",M68,N68)+273.15</f>
        <v>391.88508799972345</v>
      </c>
      <c r="Q68">
        <f t="shared" si="5"/>
        <v>2.2078000000000095</v>
      </c>
      <c r="R68" s="6">
        <f t="shared" si="1"/>
        <v>7.483906877590238</v>
      </c>
      <c r="S68" s="1">
        <f>_XLL.TEMPERATURE('simple Brayton Cycle'!$A$10,"Ps",Q68,R68)+273.15</f>
        <v>681.8533441715393</v>
      </c>
      <c r="U68" s="8">
        <f t="shared" si="9"/>
        <v>6.939124462985607</v>
      </c>
      <c r="V68">
        <f t="shared" si="6"/>
        <v>421.8367030650478</v>
      </c>
      <c r="Z68" s="8">
        <f t="shared" si="7"/>
        <v>7.52548598643749</v>
      </c>
      <c r="AA68">
        <f t="shared" si="8"/>
        <v>672.863759801541</v>
      </c>
    </row>
    <row r="69" spans="2:27" ht="15">
      <c r="B69">
        <f t="shared" si="3"/>
        <v>372</v>
      </c>
      <c r="C69">
        <f>_XLL.ENTROPY('simple Brayton Cycle'!$A$10,"PT",'T-s diagr. data'!$C$5,'T-s diagr. data'!B69-273.15)</f>
        <v>7.081498704984945</v>
      </c>
      <c r="E69">
        <f>_XLL.ENTROPY('simple Brayton Cycle'!$A$10,"PT",'T-s diagr. data'!$E$5,'T-s diagr. data'!B69-273.15)</f>
        <v>6.687339092765362</v>
      </c>
      <c r="G69" s="1">
        <f>G68+('simple Brayton Cycle'!$D$52-'simple Brayton Cycle'!$D$44)/100</f>
        <v>7.296743303525117</v>
      </c>
      <c r="H69" s="6">
        <f>_XLL.TEMPERATURE('simple Brayton Cycle'!$A$10,"Ps",'T-s diagr. data'!$E$5,'T-s diagr. data'!G69)+273.15</f>
        <v>671.3383379543241</v>
      </c>
      <c r="I69" s="6"/>
      <c r="J69" s="1">
        <f>J68-($J$8-'simple Brayton Cycle'!$D$33)/100</f>
        <v>7.11925465522168</v>
      </c>
      <c r="K69" s="6">
        <f>_XLL.TEMPERATURE('simple Brayton Cycle'!$A$10,"Ps",'T-s diagr. data'!$C$5,'T-s diagr. data'!J69)+273.15</f>
        <v>386.1622915634193</v>
      </c>
      <c r="L69" s="6"/>
      <c r="M69">
        <f t="shared" si="4"/>
        <v>2.8350699999999978</v>
      </c>
      <c r="N69" s="6">
        <f t="shared" si="0"/>
        <v>6.8418107413291445</v>
      </c>
      <c r="O69" s="1">
        <f>_XLL.TEMPERATURE('simple Brayton Cycle'!$A$10,"Ps",M69,N69)+273.15</f>
        <v>393.06390372213485</v>
      </c>
      <c r="Q69">
        <f t="shared" si="5"/>
        <v>2.1779300000000097</v>
      </c>
      <c r="R69" s="6">
        <f t="shared" si="1"/>
        <v>7.483906877590238</v>
      </c>
      <c r="S69" s="1">
        <f>_XLL.TEMPERATURE('simple Brayton Cycle'!$A$10,"Ps",Q69,R69)+273.15</f>
        <v>679.3645114794772</v>
      </c>
      <c r="U69" s="8">
        <f t="shared" si="9"/>
        <v>6.940746358346548</v>
      </c>
      <c r="V69">
        <f t="shared" si="6"/>
        <v>423.98148144946526</v>
      </c>
      <c r="Z69" s="8">
        <f t="shared" si="7"/>
        <v>7.526178971584944</v>
      </c>
      <c r="AA69">
        <f t="shared" si="8"/>
        <v>670.7756557982334</v>
      </c>
    </row>
    <row r="70" spans="2:27" ht="15">
      <c r="B70">
        <f t="shared" si="3"/>
        <v>374</v>
      </c>
      <c r="C70">
        <f>_XLL.ENTROPY('simple Brayton Cycle'!$A$10,"PT",'T-s diagr. data'!$C$5,'T-s diagr. data'!B70-273.15)</f>
        <v>7.086913275523173</v>
      </c>
      <c r="E70">
        <f>_XLL.ENTROPY('simple Brayton Cycle'!$A$10,"PT",'T-s diagr. data'!$E$5,'T-s diagr. data'!B70-273.15)</f>
        <v>6.69275366330359</v>
      </c>
      <c r="G70" s="1">
        <f>G69+('simple Brayton Cycle'!$D$52-'simple Brayton Cycle'!$D$44)/100</f>
        <v>7.301542369526787</v>
      </c>
      <c r="H70" s="6">
        <f>_XLL.TEMPERATURE('simple Brayton Cycle'!$A$10,"Ps",'T-s diagr. data'!$E$5,'T-s diagr. data'!G70)+273.15</f>
        <v>674.3639854952525</v>
      </c>
      <c r="I70" s="6"/>
      <c r="J70" s="1">
        <f>J69-($J$8-'simple Brayton Cycle'!$D$33)/100</f>
        <v>7.112140708711616</v>
      </c>
      <c r="K70" s="6">
        <f>_XLL.TEMPERATURE('simple Brayton Cycle'!$A$10,"Ps",'T-s diagr. data'!$C$5,'T-s diagr. data'!J70)+273.15</f>
        <v>383.45499767013587</v>
      </c>
      <c r="L70" s="6"/>
      <c r="M70">
        <f t="shared" si="4"/>
        <v>2.8649399999999976</v>
      </c>
      <c r="N70" s="6">
        <f t="shared" si="0"/>
        <v>6.8418107413291445</v>
      </c>
      <c r="O70" s="1">
        <f>_XLL.TEMPERATURE('simple Brayton Cycle'!$A$10,"Ps",M70,N70)+273.15</f>
        <v>394.23368574310626</v>
      </c>
      <c r="Q70">
        <f t="shared" si="5"/>
        <v>2.14806000000001</v>
      </c>
      <c r="R70" s="6">
        <f t="shared" si="1"/>
        <v>7.483906877590238</v>
      </c>
      <c r="S70" s="1">
        <f>_XLL.TEMPERATURE('simple Brayton Cycle'!$A$10,"Ps",Q70,R70)+273.15</f>
        <v>676.8491700594637</v>
      </c>
      <c r="U70" s="8">
        <f t="shared" si="9"/>
        <v>6.942368253707489</v>
      </c>
      <c r="V70">
        <f t="shared" si="6"/>
        <v>426.1262598338827</v>
      </c>
      <c r="Z70" s="8">
        <f t="shared" si="7"/>
        <v>7.526871956732398</v>
      </c>
      <c r="AA70">
        <f t="shared" si="8"/>
        <v>668.6875517949258</v>
      </c>
    </row>
    <row r="71" spans="2:27" ht="15">
      <c r="B71">
        <f t="shared" si="3"/>
        <v>376</v>
      </c>
      <c r="C71">
        <f>_XLL.ENTROPY('simple Brayton Cycle'!$A$10,"PT",'T-s diagr. data'!$C$5,'T-s diagr. data'!B71-273.15)</f>
        <v>7.092300138709338</v>
      </c>
      <c r="E71">
        <f>_XLL.ENTROPY('simple Brayton Cycle'!$A$10,"PT",'T-s diagr. data'!$E$5,'T-s diagr. data'!B71-273.15)</f>
        <v>6.6981405264897536</v>
      </c>
      <c r="G71" s="1">
        <f>G70+('simple Brayton Cycle'!$D$52-'simple Brayton Cycle'!$D$44)/100</f>
        <v>7.3063414355284575</v>
      </c>
      <c r="H71" s="6">
        <f>_XLL.TEMPERATURE('simple Brayton Cycle'!$A$10,"Ps",'T-s diagr. data'!$E$5,'T-s diagr. data'!G71)+273.15</f>
        <v>677.4011966980518</v>
      </c>
      <c r="I71" s="6"/>
      <c r="J71" s="1">
        <f>J70-($J$8-'simple Brayton Cycle'!$D$33)/100</f>
        <v>7.105026762201551</v>
      </c>
      <c r="K71" s="6">
        <f>_XLL.TEMPERATURE('simple Brayton Cycle'!$A$10,"Ps",'T-s diagr. data'!$C$5,'T-s diagr. data'!J71)+273.15</f>
        <v>380.7658465752475</v>
      </c>
      <c r="L71" s="6"/>
      <c r="M71">
        <f t="shared" si="4"/>
        <v>2.8948099999999974</v>
      </c>
      <c r="N71" s="6">
        <f t="shared" si="0"/>
        <v>6.8418107413291445</v>
      </c>
      <c r="O71" s="1">
        <f>_XLL.TEMPERATURE('simple Brayton Cycle'!$A$10,"Ps",M71,N71)+273.15</f>
        <v>395.3945943049531</v>
      </c>
      <c r="Q71">
        <f t="shared" si="5"/>
        <v>2.11819000000001</v>
      </c>
      <c r="R71" s="6">
        <f t="shared" si="1"/>
        <v>7.483906877590238</v>
      </c>
      <c r="S71" s="1">
        <f>_XLL.TEMPERATURE('simple Brayton Cycle'!$A$10,"Ps",Q71,R71)+273.15</f>
        <v>674.3066735177571</v>
      </c>
      <c r="U71" s="8">
        <f t="shared" si="9"/>
        <v>6.94399014906843</v>
      </c>
      <c r="V71">
        <f t="shared" si="6"/>
        <v>428.2710382183002</v>
      </c>
      <c r="Z71" s="8">
        <f t="shared" si="7"/>
        <v>7.527564941879852</v>
      </c>
      <c r="AA71">
        <f t="shared" si="8"/>
        <v>666.5994477916181</v>
      </c>
    </row>
    <row r="72" spans="2:27" ht="15">
      <c r="B72">
        <f t="shared" si="3"/>
        <v>378</v>
      </c>
      <c r="C72">
        <f>_XLL.ENTROPY('simple Brayton Cycle'!$A$10,"PT",'T-s diagr. data'!$C$5,'T-s diagr. data'!B72-273.15)</f>
        <v>7.097659605272363</v>
      </c>
      <c r="E72">
        <f>_XLL.ENTROPY('simple Brayton Cycle'!$A$10,"PT",'T-s diagr. data'!$E$5,'T-s diagr. data'!B72-273.15)</f>
        <v>6.703499993052781</v>
      </c>
      <c r="G72" s="1">
        <f>G71+('simple Brayton Cycle'!$D$52-'simple Brayton Cycle'!$D$44)/100</f>
        <v>7.311140501530128</v>
      </c>
      <c r="H72" s="6">
        <f>_XLL.TEMPERATURE('simple Brayton Cycle'!$A$10,"Ps",'T-s diagr. data'!$E$5,'T-s diagr. data'!G72)+273.15</f>
        <v>680.4499972939275</v>
      </c>
      <c r="I72" s="6"/>
      <c r="J72" s="1">
        <f>J71-($J$8-'simple Brayton Cycle'!$D$33)/100</f>
        <v>7.097912815691487</v>
      </c>
      <c r="K72" s="6">
        <f>_XLL.TEMPERATURE('simple Brayton Cycle'!$A$10,"Ps",'T-s diagr. data'!$C$5,'T-s diagr. data'!J72)+273.15</f>
        <v>378.0947425273785</v>
      </c>
      <c r="L72" s="6"/>
      <c r="M72">
        <f t="shared" si="4"/>
        <v>2.9246799999999973</v>
      </c>
      <c r="N72" s="6">
        <f t="shared" si="0"/>
        <v>6.8418107413291445</v>
      </c>
      <c r="O72" s="1">
        <f>_XLL.TEMPERATURE('simple Brayton Cycle'!$A$10,"Ps",M72,N72)+273.15</f>
        <v>396.54678519547286</v>
      </c>
      <c r="Q72">
        <f t="shared" si="5"/>
        <v>2.08832000000001</v>
      </c>
      <c r="R72" s="6">
        <f t="shared" si="1"/>
        <v>7.483906877590238</v>
      </c>
      <c r="S72" s="1">
        <f>_XLL.TEMPERATURE('simple Brayton Cycle'!$A$10,"Ps",Q72,R72)+273.15</f>
        <v>671.7363504813192</v>
      </c>
      <c r="U72" s="8">
        <f t="shared" si="9"/>
        <v>6.945612044429371</v>
      </c>
      <c r="V72">
        <f t="shared" si="6"/>
        <v>430.41581660271765</v>
      </c>
      <c r="Z72" s="8">
        <f t="shared" si="7"/>
        <v>7.5282579270273065</v>
      </c>
      <c r="AA72">
        <f t="shared" si="8"/>
        <v>664.5113437883105</v>
      </c>
    </row>
    <row r="73" spans="2:27" ht="15">
      <c r="B73">
        <f t="shared" si="3"/>
        <v>380</v>
      </c>
      <c r="C73">
        <f>_XLL.ENTROPY('simple Brayton Cycle'!$A$10,"PT",'T-s diagr. data'!$C$5,'T-s diagr. data'!B73-273.15)</f>
        <v>7.102991980913078</v>
      </c>
      <c r="E73">
        <f>_XLL.ENTROPY('simple Brayton Cycle'!$A$10,"PT",'T-s diagr. data'!$E$5,'T-s diagr. data'!B73-273.15)</f>
        <v>6.708832368693494</v>
      </c>
      <c r="G73" s="1">
        <f>G72+('simple Brayton Cycle'!$D$52-'simple Brayton Cycle'!$D$44)/100</f>
        <v>7.315939567531798</v>
      </c>
      <c r="H73" s="6">
        <f>_XLL.TEMPERATURE('simple Brayton Cycle'!$A$10,"Ps",'T-s diagr. data'!$E$5,'T-s diagr. data'!G73)+273.15</f>
        <v>683.5104130718535</v>
      </c>
      <c r="I73" s="6"/>
      <c r="J73" s="1">
        <f>J72-($J$8-'simple Brayton Cycle'!$D$33)/100</f>
        <v>7.090798869181422</v>
      </c>
      <c r="K73" s="6">
        <f>_XLL.TEMPERATURE('simple Brayton Cycle'!$A$10,"Ps",'T-s diagr. data'!$C$5,'T-s diagr. data'!J73)+273.15</f>
        <v>375.4415897557455</v>
      </c>
      <c r="L73" s="6"/>
      <c r="M73">
        <f t="shared" si="4"/>
        <v>2.954549999999997</v>
      </c>
      <c r="N73" s="6">
        <f aca="true" t="shared" si="10" ref="N73:N108">$O$4</f>
        <v>6.8418107413291445</v>
      </c>
      <c r="O73" s="1">
        <f>_XLL.TEMPERATURE('simple Brayton Cycle'!$A$10,"Ps",M73,N73)+273.15</f>
        <v>397.6904099158388</v>
      </c>
      <c r="Q73">
        <f t="shared" si="5"/>
        <v>2.0584500000000103</v>
      </c>
      <c r="R73" s="6">
        <f aca="true" t="shared" si="11" ref="R73:R108">$S$4</f>
        <v>7.483906877590238</v>
      </c>
      <c r="S73" s="1">
        <f>_XLL.TEMPERATURE('simple Brayton Cycle'!$A$10,"Ps",Q73,R73)+273.15</f>
        <v>669.1375032629509</v>
      </c>
      <c r="U73" s="8">
        <f aca="true" t="shared" si="12" ref="U73:U108">U72+($W$4-$W$3)/100</f>
        <v>6.947233939790312</v>
      </c>
      <c r="V73">
        <f t="shared" si="6"/>
        <v>432.5605949871351</v>
      </c>
      <c r="Z73" s="8">
        <f t="shared" si="7"/>
        <v>7.528950912174761</v>
      </c>
      <c r="AA73">
        <f t="shared" si="8"/>
        <v>662.4232397850028</v>
      </c>
    </row>
    <row r="74" spans="2:27" ht="15">
      <c r="B74">
        <f aca="true" t="shared" si="13" ref="B74:B137">B73+2</f>
        <v>382</v>
      </c>
      <c r="C74">
        <f>_XLL.ENTROPY('simple Brayton Cycle'!$A$10,"PT",'T-s diagr. data'!$C$5,'T-s diagr. data'!B74-273.15)</f>
        <v>7.108297566409943</v>
      </c>
      <c r="E74">
        <f>_XLL.ENTROPY('simple Brayton Cycle'!$A$10,"PT",'T-s diagr. data'!$E$5,'T-s diagr. data'!B74-273.15)</f>
        <v>6.714137954190359</v>
      </c>
      <c r="G74" s="1">
        <f>G73+('simple Brayton Cycle'!$D$52-'simple Brayton Cycle'!$D$44)/100</f>
        <v>7.320738633533468</v>
      </c>
      <c r="H74" s="6">
        <f>_XLL.TEMPERATURE('simple Brayton Cycle'!$A$10,"Ps",'T-s diagr. data'!$E$5,'T-s diagr. data'!G74)+273.15</f>
        <v>686.5824698829048</v>
      </c>
      <c r="I74" s="6"/>
      <c r="J74" s="1">
        <f>J73-($J$8-'simple Brayton Cycle'!$D$33)/100</f>
        <v>7.083684922671358</v>
      </c>
      <c r="K74" s="6">
        <f>_XLL.TEMPERATURE('simple Brayton Cycle'!$A$10,"Ps",'T-s diagr. data'!$C$5,'T-s diagr. data'!J74)+273.15</f>
        <v>372.8062924788193</v>
      </c>
      <c r="L74" s="6"/>
      <c r="M74">
        <f aca="true" t="shared" si="14" ref="M74:M108">M73+($N$4-$N$3)/100</f>
        <v>2.984419999999997</v>
      </c>
      <c r="N74" s="6">
        <f t="shared" si="10"/>
        <v>6.8418107413291445</v>
      </c>
      <c r="O74" s="1">
        <f>_XLL.TEMPERATURE('simple Brayton Cycle'!$A$10,"Ps",M74,N74)+273.15</f>
        <v>398.82561584053286</v>
      </c>
      <c r="Q74">
        <f aca="true" t="shared" si="15" ref="Q74:Q108">Q73-($R$3-$R$4)/100</f>
        <v>2.0285800000000105</v>
      </c>
      <c r="R74" s="6">
        <f t="shared" si="11"/>
        <v>7.483906877590238</v>
      </c>
      <c r="S74" s="1">
        <f>_XLL.TEMPERATURE('simple Brayton Cycle'!$A$10,"Ps",Q74,R74)+273.15</f>
        <v>666.5094064346698</v>
      </c>
      <c r="U74" s="8">
        <f t="shared" si="12"/>
        <v>6.948855835151253</v>
      </c>
      <c r="V74">
        <f aca="true" t="shared" si="16" ref="V74:V108">V73+$W$6*(U74-U73)</f>
        <v>434.7053733715526</v>
      </c>
      <c r="Z74" s="8">
        <f aca="true" t="shared" si="17" ref="Z74:Z108">Z73+($AB$4-$AB$3)/100</f>
        <v>7.529643897322215</v>
      </c>
      <c r="AA74">
        <f aca="true" t="shared" si="18" ref="AA74:AA108">AA73+$AB$6*(Z74-Z73)</f>
        <v>660.3351357816952</v>
      </c>
    </row>
    <row r="75" spans="2:27" ht="15">
      <c r="B75">
        <f t="shared" si="13"/>
        <v>384</v>
      </c>
      <c r="C75">
        <f>_XLL.ENTROPY('simple Brayton Cycle'!$A$10,"PT",'T-s diagr. data'!$C$5,'T-s diagr. data'!B75-273.15)</f>
        <v>7.1135766577220405</v>
      </c>
      <c r="E75">
        <f>_XLL.ENTROPY('simple Brayton Cycle'!$A$10,"PT",'T-s diagr. data'!$E$5,'T-s diagr. data'!B75-273.15)</f>
        <v>6.719417045502455</v>
      </c>
      <c r="G75" s="1">
        <f>G74+('simple Brayton Cycle'!$D$52-'simple Brayton Cycle'!$D$44)/100</f>
        <v>7.325537699535138</v>
      </c>
      <c r="H75" s="6">
        <f>_XLL.TEMPERATURE('simple Brayton Cycle'!$A$10,"Ps",'T-s diagr. data'!$E$5,'T-s diagr. data'!G75)+273.15</f>
        <v>689.6661936446915</v>
      </c>
      <c r="I75" s="6"/>
      <c r="J75" s="1">
        <f>J74-($J$8-'simple Brayton Cycle'!$D$33)/100</f>
        <v>7.076570976161293</v>
      </c>
      <c r="K75" s="6">
        <f>_XLL.TEMPERATURE('simple Brayton Cycle'!$A$10,"Ps",'T-s diagr. data'!$C$5,'T-s diagr. data'!J75)+273.15</f>
        <v>370.188754912965</v>
      </c>
      <c r="L75" s="6"/>
      <c r="M75">
        <f t="shared" si="14"/>
        <v>3.014289999999997</v>
      </c>
      <c r="N75" s="6">
        <f t="shared" si="10"/>
        <v>6.8418107413291445</v>
      </c>
      <c r="O75" s="1">
        <f>_XLL.TEMPERATURE('simple Brayton Cycle'!$A$10,"Ps",M75,N75)+273.15</f>
        <v>399.9525463697736</v>
      </c>
      <c r="Q75">
        <f t="shared" si="15"/>
        <v>1.9987100000000104</v>
      </c>
      <c r="R75" s="6">
        <f t="shared" si="11"/>
        <v>7.483906877590238</v>
      </c>
      <c r="S75" s="1">
        <f>_XLL.TEMPERATURE('simple Brayton Cycle'!$A$10,"Ps",Q75,R75)+273.15</f>
        <v>663.8513053016002</v>
      </c>
      <c r="U75" s="8">
        <f t="shared" si="12"/>
        <v>6.950477730512194</v>
      </c>
      <c r="V75">
        <f t="shared" si="16"/>
        <v>436.85015175597005</v>
      </c>
      <c r="Z75" s="8">
        <f t="shared" si="17"/>
        <v>7.530336882469669</v>
      </c>
      <c r="AA75">
        <f t="shared" si="18"/>
        <v>658.2470317783875</v>
      </c>
    </row>
    <row r="76" spans="2:27" ht="15">
      <c r="B76">
        <f t="shared" si="13"/>
        <v>386</v>
      </c>
      <c r="C76">
        <f>_XLL.ENTROPY('simple Brayton Cycle'!$A$10,"PT",'T-s diagr. data'!$C$5,'T-s diagr. data'!B76-273.15)</f>
        <v>7.118829546089367</v>
      </c>
      <c r="E76">
        <f>_XLL.ENTROPY('simple Brayton Cycle'!$A$10,"PT",'T-s diagr. data'!$E$5,'T-s diagr. data'!B76-273.15)</f>
        <v>6.724669933869784</v>
      </c>
      <c r="G76" s="1">
        <f>G75+('simple Brayton Cycle'!$D$52-'simple Brayton Cycle'!$D$44)/100</f>
        <v>7.330336765536808</v>
      </c>
      <c r="H76" s="6">
        <f>_XLL.TEMPERATURE('simple Brayton Cycle'!$A$10,"Ps",'T-s diagr. data'!$E$5,'T-s diagr. data'!G76)+273.15</f>
        <v>692.7616103458821</v>
      </c>
      <c r="I76" s="6"/>
      <c r="J76" s="1">
        <f>J75-($J$8-'simple Brayton Cycle'!$D$33)/100</f>
        <v>7.069457029651229</v>
      </c>
      <c r="K76" s="6">
        <f>_XLL.TEMPERATURE('simple Brayton Cycle'!$A$10,"Ps",'T-s diagr. data'!$C$5,'T-s diagr. data'!J76)+273.15</f>
        <v>367.5888817810226</v>
      </c>
      <c r="L76" s="6"/>
      <c r="M76">
        <f t="shared" si="14"/>
        <v>3.0441599999999966</v>
      </c>
      <c r="N76" s="6">
        <f t="shared" si="10"/>
        <v>6.8418107413291445</v>
      </c>
      <c r="O76" s="1">
        <f>_XLL.TEMPERATURE('simple Brayton Cycle'!$A$10,"Ps",M76,N76)+273.15</f>
        <v>401.07134107487025</v>
      </c>
      <c r="Q76">
        <f t="shared" si="15"/>
        <v>1.9688400000000104</v>
      </c>
      <c r="R76" s="6">
        <f t="shared" si="11"/>
        <v>7.483906877590238</v>
      </c>
      <c r="S76" s="1">
        <f>_XLL.TEMPERATURE('simple Brayton Cycle'!$A$10,"Ps",Q76,R76)+273.15</f>
        <v>661.1624142678344</v>
      </c>
      <c r="U76" s="8">
        <f t="shared" si="12"/>
        <v>6.952099625873135</v>
      </c>
      <c r="V76">
        <f t="shared" si="16"/>
        <v>438.9949301403875</v>
      </c>
      <c r="Z76" s="8">
        <f t="shared" si="17"/>
        <v>7.531029867617123</v>
      </c>
      <c r="AA76">
        <f t="shared" si="18"/>
        <v>656.1589277750799</v>
      </c>
    </row>
    <row r="77" spans="2:27" ht="15">
      <c r="B77">
        <f t="shared" si="13"/>
        <v>388</v>
      </c>
      <c r="C77">
        <f>_XLL.ENTROPY('simple Brayton Cycle'!$A$10,"PT",'T-s diagr. data'!$C$5,'T-s diagr. data'!B77-273.15)</f>
        <v>7.124056518130553</v>
      </c>
      <c r="E77">
        <f>_XLL.ENTROPY('simple Brayton Cycle'!$A$10,"PT",'T-s diagr. data'!$E$5,'T-s diagr. data'!B77-273.15)</f>
        <v>6.729896905910969</v>
      </c>
      <c r="G77" s="1">
        <f>G76+('simple Brayton Cycle'!$D$52-'simple Brayton Cycle'!$D$44)/100</f>
        <v>7.335135831538478</v>
      </c>
      <c r="H77" s="6">
        <f>_XLL.TEMPERATURE('simple Brayton Cycle'!$A$10,"Ps",'T-s diagr. data'!$E$5,'T-s diagr. data'!G77)+273.15</f>
        <v>695.8687460508356</v>
      </c>
      <c r="I77" s="6"/>
      <c r="J77" s="1">
        <f>J76-($J$8-'simple Brayton Cycle'!$D$33)/100</f>
        <v>7.062343083141164</v>
      </c>
      <c r="K77" s="6">
        <f>_XLL.TEMPERATURE('simple Brayton Cycle'!$A$10,"Ps",'T-s diagr. data'!$C$5,'T-s diagr. data'!J77)+273.15</f>
        <v>365.00657632084653</v>
      </c>
      <c r="L77" s="6"/>
      <c r="M77">
        <f t="shared" si="14"/>
        <v>3.0740299999999965</v>
      </c>
      <c r="N77" s="6">
        <f t="shared" si="10"/>
        <v>6.8418107413291445</v>
      </c>
      <c r="O77" s="1">
        <f>_XLL.TEMPERATURE('simple Brayton Cycle'!$A$10,"Ps",M77,N77)+273.15</f>
        <v>402.1821358368814</v>
      </c>
      <c r="Q77">
        <f t="shared" si="15"/>
        <v>1.9389700000000103</v>
      </c>
      <c r="R77" s="6">
        <f t="shared" si="11"/>
        <v>7.483906877590238</v>
      </c>
      <c r="S77" s="1">
        <f>_XLL.TEMPERATURE('simple Brayton Cycle'!$A$10,"Ps",Q77,R77)+273.15</f>
        <v>658.4419150848685</v>
      </c>
      <c r="U77" s="8">
        <f t="shared" si="12"/>
        <v>6.953721521234076</v>
      </c>
      <c r="V77">
        <f t="shared" si="16"/>
        <v>441.139708524805</v>
      </c>
      <c r="Z77" s="8">
        <f t="shared" si="17"/>
        <v>7.531722852764577</v>
      </c>
      <c r="AA77">
        <f t="shared" si="18"/>
        <v>654.0708237717722</v>
      </c>
    </row>
    <row r="78" spans="2:27" ht="15">
      <c r="B78">
        <f t="shared" si="13"/>
        <v>390</v>
      </c>
      <c r="C78">
        <f>_XLL.ENTROPY('simple Brayton Cycle'!$A$10,"PT",'T-s diagr. data'!$C$5,'T-s diagr. data'!B78-273.15)</f>
        <v>7.129257855938055</v>
      </c>
      <c r="E78">
        <f>_XLL.ENTROPY('simple Brayton Cycle'!$A$10,"PT",'T-s diagr. data'!$E$5,'T-s diagr. data'!B78-273.15)</f>
        <v>6.735098243718468</v>
      </c>
      <c r="G78" s="1">
        <f>G77+('simple Brayton Cycle'!$D$52-'simple Brayton Cycle'!$D$44)/100</f>
        <v>7.339934897540148</v>
      </c>
      <c r="H78" s="6">
        <f>_XLL.TEMPERATURE('simple Brayton Cycle'!$A$10,"Ps",'T-s diagr. data'!$E$5,'T-s diagr. data'!G78)+273.15</f>
        <v>698.9876269043248</v>
      </c>
      <c r="I78" s="6"/>
      <c r="J78" s="1">
        <f>J77-($J$8-'simple Brayton Cycle'!$D$33)/100</f>
        <v>7.0552291366311</v>
      </c>
      <c r="K78" s="6">
        <f>_XLL.TEMPERATURE('simple Brayton Cycle'!$A$10,"Ps",'T-s diagr. data'!$C$5,'T-s diagr. data'!J78)+273.15</f>
        <v>362.44174331033787</v>
      </c>
      <c r="L78" s="6"/>
      <c r="M78">
        <f t="shared" si="14"/>
        <v>3.1038999999999963</v>
      </c>
      <c r="N78" s="6">
        <f t="shared" si="10"/>
        <v>6.8418107413291445</v>
      </c>
      <c r="O78" s="1">
        <f>_XLL.TEMPERATURE('simple Brayton Cycle'!$A$10,"Ps",M78,N78)+273.15</f>
        <v>403.28506297897013</v>
      </c>
      <c r="Q78">
        <f t="shared" si="15"/>
        <v>1.9091000000000102</v>
      </c>
      <c r="R78" s="6">
        <f t="shared" si="11"/>
        <v>7.483906877590238</v>
      </c>
      <c r="S78" s="1">
        <f>_XLL.TEMPERATURE('simple Brayton Cycle'!$A$10,"Ps",Q78,R78)+273.15</f>
        <v>655.6889549722114</v>
      </c>
      <c r="U78" s="8">
        <f t="shared" si="12"/>
        <v>6.955343416595017</v>
      </c>
      <c r="V78">
        <f t="shared" si="16"/>
        <v>443.28448690922244</v>
      </c>
      <c r="Z78" s="8">
        <f t="shared" si="17"/>
        <v>7.532415837912032</v>
      </c>
      <c r="AA78">
        <f t="shared" si="18"/>
        <v>651.9827197684646</v>
      </c>
    </row>
    <row r="79" spans="2:27" ht="15">
      <c r="B79">
        <f t="shared" si="13"/>
        <v>392</v>
      </c>
      <c r="C79">
        <f>_XLL.ENTROPY('simple Brayton Cycle'!$A$10,"PT",'T-s diagr. data'!$C$5,'T-s diagr. data'!B79-273.15)</f>
        <v>7.134433837170914</v>
      </c>
      <c r="E79">
        <f>_XLL.ENTROPY('simple Brayton Cycle'!$A$10,"PT",'T-s diagr. data'!$E$5,'T-s diagr. data'!B79-273.15)</f>
        <v>6.74027422495133</v>
      </c>
      <c r="G79" s="1">
        <f>G78+('simple Brayton Cycle'!$D$52-'simple Brayton Cycle'!$D$44)/100</f>
        <v>7.3447339635418185</v>
      </c>
      <c r="H79" s="6">
        <f>_XLL.TEMPERATURE('simple Brayton Cycle'!$A$10,"Ps",'T-s diagr. data'!$E$5,'T-s diagr. data'!G79)+273.15</f>
        <v>702.1182791363674</v>
      </c>
      <c r="I79" s="6"/>
      <c r="J79" s="1">
        <f>J78-($J$8-'simple Brayton Cycle'!$D$33)/100</f>
        <v>7.0481151901210355</v>
      </c>
      <c r="K79" s="6">
        <f>_XLL.TEMPERATURE('simple Brayton Cycle'!$A$10,"Ps",'T-s diagr. data'!$C$5,'T-s diagr. data'!J79)+273.15</f>
        <v>359.89428719477127</v>
      </c>
      <c r="L79" s="6"/>
      <c r="M79">
        <f t="shared" si="14"/>
        <v>3.133769999999996</v>
      </c>
      <c r="N79" s="6">
        <f t="shared" si="10"/>
        <v>6.8418107413291445</v>
      </c>
      <c r="O79" s="1">
        <f>_XLL.TEMPERATURE('simple Brayton Cycle'!$A$10,"Ps",M79,N79)+273.15</f>
        <v>404.380251392772</v>
      </c>
      <c r="Q79">
        <f t="shared" si="15"/>
        <v>1.8792300000000102</v>
      </c>
      <c r="R79" s="6">
        <f t="shared" si="11"/>
        <v>7.483906877590238</v>
      </c>
      <c r="S79" s="1">
        <f>_XLL.TEMPERATURE('simple Brayton Cycle'!$A$10,"Ps",Q79,R79)+273.15</f>
        <v>652.9026445987091</v>
      </c>
      <c r="U79" s="8">
        <f t="shared" si="12"/>
        <v>6.956965311955958</v>
      </c>
      <c r="V79">
        <f t="shared" si="16"/>
        <v>445.4292652936399</v>
      </c>
      <c r="Z79" s="8">
        <f t="shared" si="17"/>
        <v>7.533108823059486</v>
      </c>
      <c r="AA79">
        <f t="shared" si="18"/>
        <v>649.8946157651569</v>
      </c>
    </row>
    <row r="80" spans="2:27" ht="15">
      <c r="B80">
        <f t="shared" si="13"/>
        <v>394</v>
      </c>
      <c r="C80">
        <f>_XLL.ENTROPY('simple Brayton Cycle'!$A$10,"PT",'T-s diagr. data'!$C$5,'T-s diagr. data'!B80-273.15)</f>
        <v>7.139584735145183</v>
      </c>
      <c r="E80">
        <f>_XLL.ENTROPY('simple Brayton Cycle'!$A$10,"PT",'T-s diagr. data'!$E$5,'T-s diagr. data'!B80-273.15)</f>
        <v>6.7454251229255995</v>
      </c>
      <c r="G80" s="1">
        <f>G79+('simple Brayton Cycle'!$D$52-'simple Brayton Cycle'!$D$44)/100</f>
        <v>7.349533029543489</v>
      </c>
      <c r="H80" s="6">
        <f>_XLL.TEMPERATURE('simple Brayton Cycle'!$A$10,"Ps",'T-s diagr. data'!$E$5,'T-s diagr. data'!G80)+273.15</f>
        <v>705.2607290671468</v>
      </c>
      <c r="I80" s="6"/>
      <c r="J80" s="1">
        <f>J79-($J$8-'simple Brayton Cycle'!$D$33)/100</f>
        <v>7.041001243610971</v>
      </c>
      <c r="K80" s="6">
        <f>_XLL.TEMPERATURE('simple Brayton Cycle'!$A$10,"Ps",'T-s diagr. data'!$C$5,'T-s diagr. data'!J80)+273.15</f>
        <v>357.36411219533545</v>
      </c>
      <c r="L80" s="6"/>
      <c r="M80">
        <f t="shared" si="14"/>
        <v>3.163639999999996</v>
      </c>
      <c r="N80" s="6">
        <f t="shared" si="10"/>
        <v>6.8418107413291445</v>
      </c>
      <c r="O80" s="1">
        <f>_XLL.TEMPERATURE('simple Brayton Cycle'!$A$10,"Ps",M80,N80)+273.15</f>
        <v>405.4678266591306</v>
      </c>
      <c r="Q80">
        <f t="shared" si="15"/>
        <v>1.84936000000001</v>
      </c>
      <c r="R80" s="6">
        <f t="shared" si="11"/>
        <v>7.483906877590238</v>
      </c>
      <c r="S80" s="1">
        <f>_XLL.TEMPERATURE('simple Brayton Cycle'!$A$10,"Ps",Q80,R80)+273.15</f>
        <v>650.0820559118604</v>
      </c>
      <c r="U80" s="8">
        <f t="shared" si="12"/>
        <v>6.958587207316899</v>
      </c>
      <c r="V80">
        <f t="shared" si="16"/>
        <v>447.57404367805736</v>
      </c>
      <c r="Z80" s="8">
        <f t="shared" si="17"/>
        <v>7.53380180820694</v>
      </c>
      <c r="AA80">
        <f t="shared" si="18"/>
        <v>647.8065117618493</v>
      </c>
    </row>
    <row r="81" spans="2:27" ht="15">
      <c r="B81">
        <f t="shared" si="13"/>
        <v>396</v>
      </c>
      <c r="C81">
        <f>_XLL.ENTROPY('simple Brayton Cycle'!$A$10,"PT",'T-s diagr. data'!$C$5,'T-s diagr. data'!B81-273.15)</f>
        <v>7.144710818922011</v>
      </c>
      <c r="E81">
        <f>_XLL.ENTROPY('simple Brayton Cycle'!$A$10,"PT",'T-s diagr. data'!$E$5,'T-s diagr. data'!B81-273.15)</f>
        <v>6.750551206702427</v>
      </c>
      <c r="G81" s="1">
        <f>G80+('simple Brayton Cycle'!$D$52-'simple Brayton Cycle'!$D$44)/100</f>
        <v>7.354332095545159</v>
      </c>
      <c r="H81" s="6">
        <f>_XLL.TEMPERATURE('simple Brayton Cycle'!$A$10,"Ps",'T-s diagr. data'!$E$5,'T-s diagr. data'!G81)+273.15</f>
        <v>708.4150031120558</v>
      </c>
      <c r="I81" s="6"/>
      <c r="J81" s="1">
        <f>J80-($J$8-'simple Brayton Cycle'!$D$33)/100</f>
        <v>7.0338872971009065</v>
      </c>
      <c r="K81" s="6">
        <f>_XLL.TEMPERATURE('simple Brayton Cycle'!$A$10,"Ps",'T-s diagr. data'!$C$5,'T-s diagr. data'!J81)+273.15</f>
        <v>354.8511227083222</v>
      </c>
      <c r="L81" s="6"/>
      <c r="M81">
        <f t="shared" si="14"/>
        <v>3.193509999999996</v>
      </c>
      <c r="N81" s="6">
        <f t="shared" si="10"/>
        <v>6.8418107413291445</v>
      </c>
      <c r="O81" s="1">
        <f>_XLL.TEMPERATURE('simple Brayton Cycle'!$A$10,"Ps",M81,N81)+273.15</f>
        <v>406.54791116347883</v>
      </c>
      <c r="Q81">
        <f t="shared" si="15"/>
        <v>1.81949000000001</v>
      </c>
      <c r="R81" s="6">
        <f t="shared" si="11"/>
        <v>7.483906877590238</v>
      </c>
      <c r="S81" s="1">
        <f>_XLL.TEMPERATURE('simple Brayton Cycle'!$A$10,"Ps",Q81,R81)+273.15</f>
        <v>647.226219801034</v>
      </c>
      <c r="U81" s="8">
        <f t="shared" si="12"/>
        <v>6.96020910267784</v>
      </c>
      <c r="V81">
        <f t="shared" si="16"/>
        <v>449.7188220624748</v>
      </c>
      <c r="Z81" s="8">
        <f t="shared" si="17"/>
        <v>7.534494793354394</v>
      </c>
      <c r="AA81">
        <f t="shared" si="18"/>
        <v>645.7184077585416</v>
      </c>
    </row>
    <row r="82" spans="2:27" ht="15">
      <c r="B82">
        <f t="shared" si="13"/>
        <v>398</v>
      </c>
      <c r="C82">
        <f>_XLL.ENTROPY('simple Brayton Cycle'!$A$10,"PT",'T-s diagr. data'!$C$5,'T-s diagr. data'!B82-273.15)</f>
        <v>7.14981235339356</v>
      </c>
      <c r="E82">
        <f>_XLL.ENTROPY('simple Brayton Cycle'!$A$10,"PT",'T-s diagr. data'!$E$5,'T-s diagr. data'!B82-273.15)</f>
        <v>6.755652741173975</v>
      </c>
      <c r="G82" s="1">
        <f>G81+('simple Brayton Cycle'!$D$52-'simple Brayton Cycle'!$D$44)/100</f>
        <v>7.359131161546829</v>
      </c>
      <c r="H82" s="6">
        <f>_XLL.TEMPERATURE('simple Brayton Cycle'!$A$10,"Ps",'T-s diagr. data'!$E$5,'T-s diagr. data'!G82)+273.15</f>
        <v>711.5811277868146</v>
      </c>
      <c r="I82" s="6"/>
      <c r="J82" s="1">
        <f>J81-($J$8-'simple Brayton Cycle'!$D$33)/100</f>
        <v>7.026773350590842</v>
      </c>
      <c r="K82" s="6">
        <f>_XLL.TEMPERATURE('simple Brayton Cycle'!$A$10,"Ps",'T-s diagr. data'!$C$5,'T-s diagr. data'!J82)+273.15</f>
        <v>352.35522318962785</v>
      </c>
      <c r="L82" s="6"/>
      <c r="M82">
        <f t="shared" si="14"/>
        <v>3.2233799999999957</v>
      </c>
      <c r="N82" s="6">
        <f t="shared" si="10"/>
        <v>6.8418107413291445</v>
      </c>
      <c r="O82" s="1">
        <f>_XLL.TEMPERATURE('simple Brayton Cycle'!$A$10,"Ps",M82,N82)+273.15</f>
        <v>407.62062420616655</v>
      </c>
      <c r="Q82">
        <f t="shared" si="15"/>
        <v>1.78962000000001</v>
      </c>
      <c r="R82" s="6">
        <f t="shared" si="11"/>
        <v>7.483906877590238</v>
      </c>
      <c r="S82" s="1">
        <f>_XLL.TEMPERATURE('simple Brayton Cycle'!$A$10,"Ps",Q82,R82)+273.15</f>
        <v>644.3341235789449</v>
      </c>
      <c r="U82" s="8">
        <f t="shared" si="12"/>
        <v>6.961830998038781</v>
      </c>
      <c r="V82">
        <f t="shared" si="16"/>
        <v>451.8636004468923</v>
      </c>
      <c r="Z82" s="8">
        <f t="shared" si="17"/>
        <v>7.535187778501848</v>
      </c>
      <c r="AA82">
        <f t="shared" si="18"/>
        <v>643.630303755234</v>
      </c>
    </row>
    <row r="83" spans="2:27" ht="15">
      <c r="B83">
        <f t="shared" si="13"/>
        <v>400</v>
      </c>
      <c r="C83">
        <f>_XLL.ENTROPY('simple Brayton Cycle'!$A$10,"PT",'T-s diagr. data'!$C$5,'T-s diagr. data'!B83-273.15)</f>
        <v>7.1548895993667365</v>
      </c>
      <c r="E83">
        <f>_XLL.ENTROPY('simple Brayton Cycle'!$A$10,"PT",'T-s diagr. data'!$E$5,'T-s diagr. data'!B83-273.15)</f>
        <v>6.760729987147152</v>
      </c>
      <c r="G83" s="1">
        <f>G82+('simple Brayton Cycle'!$D$52-'simple Brayton Cycle'!$D$44)/100</f>
        <v>7.363930227548499</v>
      </c>
      <c r="H83" s="6">
        <f>_XLL.TEMPERATURE('simple Brayton Cycle'!$A$10,"Ps",'T-s diagr. data'!$E$5,'T-s diagr. data'!G83)+273.15</f>
        <v>714.7591297127248</v>
      </c>
      <c r="I83" s="6"/>
      <c r="J83" s="1">
        <f>J82-($J$8-'simple Brayton Cycle'!$D$33)/100</f>
        <v>7.019659404080778</v>
      </c>
      <c r="K83" s="6">
        <f>_XLL.TEMPERATURE('simple Brayton Cycle'!$A$10,"Ps",'T-s diagr. data'!$C$5,'T-s diagr. data'!J83)+273.15</f>
        <v>349.87631816328343</v>
      </c>
      <c r="L83" s="6"/>
      <c r="M83">
        <f t="shared" si="14"/>
        <v>3.2532499999999955</v>
      </c>
      <c r="N83" s="6">
        <f t="shared" si="10"/>
        <v>6.8418107413291445</v>
      </c>
      <c r="O83" s="1">
        <f>_XLL.TEMPERATURE('simple Brayton Cycle'!$A$10,"Ps",M83,N83)+273.15</f>
        <v>408.6860821079904</v>
      </c>
      <c r="Q83">
        <f t="shared" si="15"/>
        <v>1.75975000000001</v>
      </c>
      <c r="R83" s="6">
        <f t="shared" si="11"/>
        <v>7.483906877590238</v>
      </c>
      <c r="S83" s="1">
        <f>_XLL.TEMPERATURE('simple Brayton Cycle'!$A$10,"Ps",Q83,R83)+273.15</f>
        <v>641.4047077639348</v>
      </c>
      <c r="U83" s="8">
        <f t="shared" si="12"/>
        <v>6.963452893399722</v>
      </c>
      <c r="V83">
        <f t="shared" si="16"/>
        <v>454.00837883130976</v>
      </c>
      <c r="Z83" s="8">
        <f t="shared" si="17"/>
        <v>7.535880763649303</v>
      </c>
      <c r="AA83">
        <f t="shared" si="18"/>
        <v>641.5421997519263</v>
      </c>
    </row>
    <row r="84" spans="2:27" ht="15">
      <c r="B84">
        <f t="shared" si="13"/>
        <v>402</v>
      </c>
      <c r="C84">
        <f>_XLL.ENTROPY('simple Brayton Cycle'!$A$10,"PT",'T-s diagr. data'!$C$5,'T-s diagr. data'!B84-273.15)</f>
        <v>7.159942813644854</v>
      </c>
      <c r="E84">
        <f>_XLL.ENTROPY('simple Brayton Cycle'!$A$10,"PT",'T-s diagr. data'!$E$5,'T-s diagr. data'!B84-273.15)</f>
        <v>6.765783201425269</v>
      </c>
      <c r="G84" s="1">
        <f>G83+('simple Brayton Cycle'!$D$52-'simple Brayton Cycle'!$D$44)/100</f>
        <v>7.368729293550169</v>
      </c>
      <c r="H84" s="6">
        <f>_XLL.TEMPERATURE('simple Brayton Cycle'!$A$10,"Ps",'T-s diagr. data'!$E$5,'T-s diagr. data'!G84)+273.15</f>
        <v>717.9490356220001</v>
      </c>
      <c r="I84" s="6"/>
      <c r="J84" s="1">
        <f>J83-($J$8-'simple Brayton Cycle'!$D$33)/100</f>
        <v>7.012545457570713</v>
      </c>
      <c r="K84" s="6">
        <f>_XLL.TEMPERATURE('simple Brayton Cycle'!$A$10,"Ps",'T-s diagr. data'!$C$5,'T-s diagr. data'!J84)+273.15</f>
        <v>347.4143122299188</v>
      </c>
      <c r="L84" s="6"/>
      <c r="M84">
        <f t="shared" si="14"/>
        <v>3.2831199999999954</v>
      </c>
      <c r="N84" s="6">
        <f t="shared" si="10"/>
        <v>6.8418107413291445</v>
      </c>
      <c r="O84" s="1">
        <f>_XLL.TEMPERATURE('simple Brayton Cycle'!$A$10,"Ps",M84,N84)+273.15</f>
        <v>409.74439831118406</v>
      </c>
      <c r="Q84">
        <f t="shared" si="15"/>
        <v>1.7298800000000099</v>
      </c>
      <c r="R84" s="6">
        <f t="shared" si="11"/>
        <v>7.483906877590238</v>
      </c>
      <c r="S84" s="1">
        <f>_XLL.TEMPERATURE('simple Brayton Cycle'!$A$10,"Ps",Q84,R84)+273.15</f>
        <v>638.4368651437128</v>
      </c>
      <c r="U84" s="8">
        <f t="shared" si="12"/>
        <v>6.965074788760663</v>
      </c>
      <c r="V84">
        <f t="shared" si="16"/>
        <v>456.1531572157272</v>
      </c>
      <c r="Z84" s="8">
        <f t="shared" si="17"/>
        <v>7.536573748796757</v>
      </c>
      <c r="AA84">
        <f t="shared" si="18"/>
        <v>639.4540957486187</v>
      </c>
    </row>
    <row r="85" spans="2:27" ht="15">
      <c r="B85">
        <f t="shared" si="13"/>
        <v>404</v>
      </c>
      <c r="C85">
        <f>_XLL.ENTROPY('simple Brayton Cycle'!$A$10,"PT",'T-s diagr. data'!$C$5,'T-s diagr. data'!B85-273.15)</f>
        <v>7.164972249107253</v>
      </c>
      <c r="E85">
        <f>_XLL.ENTROPY('simple Brayton Cycle'!$A$10,"PT",'T-s diagr. data'!$E$5,'T-s diagr. data'!B85-273.15)</f>
        <v>6.770812636887669</v>
      </c>
      <c r="G85" s="1">
        <f>G84+('simple Brayton Cycle'!$D$52-'simple Brayton Cycle'!$D$44)/100</f>
        <v>7.373528359551839</v>
      </c>
      <c r="H85" s="6">
        <f>_XLL.TEMPERATURE('simple Brayton Cycle'!$A$10,"Ps",'T-s diagr. data'!$E$5,'T-s diagr. data'!G85)+273.15</f>
        <v>721.1508723632289</v>
      </c>
      <c r="I85" s="6"/>
      <c r="J85" s="1">
        <f>J84-($J$8-'simple Brayton Cycle'!$D$33)/100</f>
        <v>7.005431511060649</v>
      </c>
      <c r="K85" s="6">
        <f>_XLL.TEMPERATURE('simple Brayton Cycle'!$A$10,"Ps",'T-s diagr. data'!$C$5,'T-s diagr. data'!J85)+273.15</f>
        <v>344.9691100751693</v>
      </c>
      <c r="L85" s="6"/>
      <c r="M85">
        <f t="shared" si="14"/>
        <v>3.312989999999995</v>
      </c>
      <c r="N85" s="6">
        <f t="shared" si="10"/>
        <v>6.8418107413291445</v>
      </c>
      <c r="O85" s="1">
        <f>_XLL.TEMPERATURE('simple Brayton Cycle'!$A$10,"Ps",M85,N85)+273.15</f>
        <v>410.795683476097</v>
      </c>
      <c r="Q85">
        <f t="shared" si="15"/>
        <v>1.7000100000000098</v>
      </c>
      <c r="R85" s="6">
        <f t="shared" si="11"/>
        <v>7.483906877590238</v>
      </c>
      <c r="S85" s="1">
        <f>_XLL.TEMPERATURE('simple Brayton Cycle'!$A$10,"Ps",Q85,R85)+273.15</f>
        <v>635.4294345988011</v>
      </c>
      <c r="U85" s="8">
        <f t="shared" si="12"/>
        <v>6.9666966841216045</v>
      </c>
      <c r="V85">
        <f t="shared" si="16"/>
        <v>458.2979356001447</v>
      </c>
      <c r="Z85" s="8">
        <f t="shared" si="17"/>
        <v>7.537266733944211</v>
      </c>
      <c r="AA85">
        <f t="shared" si="18"/>
        <v>637.365991745311</v>
      </c>
    </row>
    <row r="86" spans="2:27" ht="15">
      <c r="B86">
        <f t="shared" si="13"/>
        <v>406</v>
      </c>
      <c r="C86">
        <f>_XLL.ENTROPY('simple Brayton Cycle'!$A$10,"PT",'T-s diagr. data'!$C$5,'T-s diagr. data'!B86-273.15)</f>
        <v>7.169978154786966</v>
      </c>
      <c r="E86">
        <f>_XLL.ENTROPY('simple Brayton Cycle'!$A$10,"PT",'T-s diagr. data'!$E$5,'T-s diagr. data'!B86-273.15)</f>
        <v>6.775818542567381</v>
      </c>
      <c r="G86" s="1">
        <f>G85+('simple Brayton Cycle'!$D$52-'simple Brayton Cycle'!$D$44)/100</f>
        <v>7.378327425553509</v>
      </c>
      <c r="H86" s="6">
        <f>_XLL.TEMPERATURE('simple Brayton Cycle'!$A$10,"Ps",'T-s diagr. data'!$E$5,'T-s diagr. data'!G86)+273.15</f>
        <v>724.3646669069129</v>
      </c>
      <c r="I86" s="6"/>
      <c r="J86" s="1">
        <f>J85-($J$8-'simple Brayton Cycle'!$D$33)/100</f>
        <v>6.998317564550584</v>
      </c>
      <c r="K86" s="6">
        <f>_XLL.TEMPERATURE('simple Brayton Cycle'!$A$10,"Ps",'T-s diagr. data'!$C$5,'T-s diagr. data'!J86)+273.15</f>
        <v>342.5406164780175</v>
      </c>
      <c r="L86" s="6"/>
      <c r="M86">
        <f t="shared" si="14"/>
        <v>3.342859999999995</v>
      </c>
      <c r="N86" s="6">
        <f t="shared" si="10"/>
        <v>6.8418107413291445</v>
      </c>
      <c r="O86" s="1">
        <f>_XLL.TEMPERATURE('simple Brayton Cycle'!$A$10,"Ps",M86,N86)+273.15</f>
        <v>411.84004557378967</v>
      </c>
      <c r="Q86">
        <f t="shared" si="15"/>
        <v>1.6701400000000097</v>
      </c>
      <c r="R86" s="6">
        <f t="shared" si="11"/>
        <v>7.483906877590238</v>
      </c>
      <c r="S86" s="1">
        <f>_XLL.TEMPERATURE('simple Brayton Cycle'!$A$10,"Ps",Q86,R86)+273.15</f>
        <v>632.3811996615118</v>
      </c>
      <c r="U86" s="8">
        <f t="shared" si="12"/>
        <v>6.9683185794825455</v>
      </c>
      <c r="V86">
        <f t="shared" si="16"/>
        <v>460.44271398456215</v>
      </c>
      <c r="Z86" s="8">
        <f t="shared" si="17"/>
        <v>7.537959719091665</v>
      </c>
      <c r="AA86">
        <f t="shared" si="18"/>
        <v>635.2778877420034</v>
      </c>
    </row>
    <row r="87" spans="2:27" ht="15">
      <c r="B87">
        <f t="shared" si="13"/>
        <v>408</v>
      </c>
      <c r="C87">
        <f>_XLL.ENTROPY('simple Brayton Cycle'!$A$10,"PT",'T-s diagr. data'!$C$5,'T-s diagr. data'!B87-273.15)</f>
        <v>7.174960775946475</v>
      </c>
      <c r="E87">
        <f>_XLL.ENTROPY('simple Brayton Cycle'!$A$10,"PT",'T-s diagr. data'!$E$5,'T-s diagr. data'!B87-273.15)</f>
        <v>6.780801163726892</v>
      </c>
      <c r="G87" s="1">
        <f>G86+('simple Brayton Cycle'!$D$52-'simple Brayton Cycle'!$D$44)/100</f>
        <v>7.3831264915551795</v>
      </c>
      <c r="H87" s="6">
        <f>_XLL.TEMPERATURE('simple Brayton Cycle'!$A$10,"Ps",'T-s diagr. data'!$E$5,'T-s diagr. data'!G87)+273.15</f>
        <v>727.5904463511495</v>
      </c>
      <c r="I87" s="6"/>
      <c r="J87" s="1">
        <f>J86-($J$8-'simple Brayton Cycle'!$D$33)/100</f>
        <v>6.99120361804052</v>
      </c>
      <c r="K87" s="6">
        <f>_XLL.TEMPERATURE('simple Brayton Cycle'!$A$10,"Ps",'T-s diagr. data'!$C$5,'T-s diagr. data'!J87)+273.15</f>
        <v>340.1287363190595</v>
      </c>
      <c r="L87" s="6"/>
      <c r="M87">
        <f t="shared" si="14"/>
        <v>3.372729999999995</v>
      </c>
      <c r="N87" s="6">
        <f t="shared" si="10"/>
        <v>6.8418107413291445</v>
      </c>
      <c r="O87" s="1">
        <f>_XLL.TEMPERATURE('simple Brayton Cycle'!$A$10,"Ps",M87,N87)+273.15</f>
        <v>412.8775899747482</v>
      </c>
      <c r="Q87">
        <f t="shared" si="15"/>
        <v>1.6402700000000097</v>
      </c>
      <c r="R87" s="6">
        <f t="shared" si="11"/>
        <v>7.483906877590238</v>
      </c>
      <c r="S87" s="1">
        <f>_XLL.TEMPERATURE('simple Brayton Cycle'!$A$10,"Ps",Q87,R87)+273.15</f>
        <v>629.2908842832504</v>
      </c>
      <c r="U87" s="8">
        <f t="shared" si="12"/>
        <v>6.9699404748434866</v>
      </c>
      <c r="V87">
        <f t="shared" si="16"/>
        <v>462.5874923689796</v>
      </c>
      <c r="Z87" s="8">
        <f t="shared" si="17"/>
        <v>7.538652704239119</v>
      </c>
      <c r="AA87">
        <f t="shared" si="18"/>
        <v>633.1897837386957</v>
      </c>
    </row>
    <row r="88" spans="2:27" ht="15">
      <c r="B88">
        <f t="shared" si="13"/>
        <v>410</v>
      </c>
      <c r="C88">
        <f>_XLL.ENTROPY('simple Brayton Cycle'!$A$10,"PT",'T-s diagr. data'!$C$5,'T-s diagr. data'!B88-273.15)</f>
        <v>7.179920354151605</v>
      </c>
      <c r="E88">
        <f>_XLL.ENTROPY('simple Brayton Cycle'!$A$10,"PT",'T-s diagr. data'!$E$5,'T-s diagr. data'!B88-273.15)</f>
        <v>6.785760741932023</v>
      </c>
      <c r="G88" s="1">
        <f>G87+('simple Brayton Cycle'!$D$52-'simple Brayton Cycle'!$D$44)/100</f>
        <v>7.38792555755685</v>
      </c>
      <c r="H88" s="6">
        <f>_XLL.TEMPERATURE('simple Brayton Cycle'!$A$10,"Ps",'T-s diagr. data'!$E$5,'T-s diagr. data'!G88)+273.15</f>
        <v>730.8282379273963</v>
      </c>
      <c r="I88" s="6"/>
      <c r="J88" s="1">
        <f>J87-($J$8-'simple Brayton Cycle'!$D$33)/100</f>
        <v>6.984089671530455</v>
      </c>
      <c r="K88" s="6">
        <f>_XLL.TEMPERATURE('simple Brayton Cycle'!$A$10,"Ps",'T-s diagr. data'!$C$5,'T-s diagr. data'!J88)+273.15</f>
        <v>337.7333745886991</v>
      </c>
      <c r="L88" s="6"/>
      <c r="M88">
        <f t="shared" si="14"/>
        <v>3.4025999999999947</v>
      </c>
      <c r="N88" s="6">
        <f t="shared" si="10"/>
        <v>6.8418107413291445</v>
      </c>
      <c r="O88" s="1">
        <f>_XLL.TEMPERATURE('simple Brayton Cycle'!$A$10,"Ps",M88,N88)+273.15</f>
        <v>413.90841953391225</v>
      </c>
      <c r="Q88">
        <f t="shared" si="15"/>
        <v>1.6104000000000096</v>
      </c>
      <c r="R88" s="6">
        <f t="shared" si="11"/>
        <v>7.483906877590238</v>
      </c>
      <c r="S88" s="1">
        <f>_XLL.TEMPERATURE('simple Brayton Cycle'!$A$10,"Ps",Q88,R88)+273.15</f>
        <v>626.1571487495183</v>
      </c>
      <c r="U88" s="8">
        <f t="shared" si="12"/>
        <v>6.971562370204428</v>
      </c>
      <c r="V88">
        <f t="shared" si="16"/>
        <v>464.7322707533971</v>
      </c>
      <c r="Z88" s="8">
        <f t="shared" si="17"/>
        <v>7.539345689386574</v>
      </c>
      <c r="AA88">
        <f t="shared" si="18"/>
        <v>631.1016797353881</v>
      </c>
    </row>
    <row r="89" spans="2:27" ht="15">
      <c r="B89">
        <f t="shared" si="13"/>
        <v>412</v>
      </c>
      <c r="C89">
        <f>_XLL.ENTROPY('simple Brayton Cycle'!$A$10,"PT",'T-s diagr. data'!$C$5,'T-s diagr. data'!B89-273.15)</f>
        <v>7.184857127343639</v>
      </c>
      <c r="E89">
        <f>_XLL.ENTROPY('simple Brayton Cycle'!$A$10,"PT",'T-s diagr. data'!$E$5,'T-s diagr. data'!B89-273.15)</f>
        <v>6.790697515124055</v>
      </c>
      <c r="G89" s="1">
        <f>G88+('simple Brayton Cycle'!$D$52-'simple Brayton Cycle'!$D$44)/100</f>
        <v>7.39272462355852</v>
      </c>
      <c r="H89" s="6">
        <f>_XLL.TEMPERATURE('simple Brayton Cycle'!$A$10,"Ps",'T-s diagr. data'!$E$5,'T-s diagr. data'!G89)+273.15</f>
        <v>734.0780690063577</v>
      </c>
      <c r="I89" s="6"/>
      <c r="J89" s="1">
        <f>J88-($J$8-'simple Brayton Cycle'!$D$33)/100</f>
        <v>6.976975725020391</v>
      </c>
      <c r="K89" s="6">
        <f>_XLL.TEMPERATURE('simple Brayton Cycle'!$A$10,"Ps",'T-s diagr. data'!$C$5,'T-s diagr. data'!J89)+273.15</f>
        <v>335.354436395259</v>
      </c>
      <c r="L89" s="6"/>
      <c r="M89">
        <f t="shared" si="14"/>
        <v>3.4324699999999946</v>
      </c>
      <c r="N89" s="6">
        <f t="shared" si="10"/>
        <v>6.8418107413291445</v>
      </c>
      <c r="O89" s="1">
        <f>_XLL.TEMPERATURE('simple Brayton Cycle'!$A$10,"Ps",M89,N89)+273.15</f>
        <v>414.9326346722013</v>
      </c>
      <c r="Q89">
        <f t="shared" si="15"/>
        <v>1.5805300000000095</v>
      </c>
      <c r="R89" s="6">
        <f t="shared" si="11"/>
        <v>7.483906877590238</v>
      </c>
      <c r="S89" s="1">
        <f>_XLL.TEMPERATURE('simple Brayton Cycle'!$A$10,"Ps",Q89,R89)+273.15</f>
        <v>622.9785852999584</v>
      </c>
      <c r="U89" s="8">
        <f t="shared" si="12"/>
        <v>6.973184265565369</v>
      </c>
      <c r="V89">
        <f t="shared" si="16"/>
        <v>466.87704913781454</v>
      </c>
      <c r="Z89" s="8">
        <f t="shared" si="17"/>
        <v>7.540038674534028</v>
      </c>
      <c r="AA89">
        <f t="shared" si="18"/>
        <v>629.0135757320804</v>
      </c>
    </row>
    <row r="90" spans="2:27" ht="15">
      <c r="B90">
        <f t="shared" si="13"/>
        <v>414</v>
      </c>
      <c r="C90">
        <f>_XLL.ENTROPY('simple Brayton Cycle'!$A$10,"PT",'T-s diagr. data'!$C$5,'T-s diagr. data'!B90-273.15)</f>
        <v>7.189771329909658</v>
      </c>
      <c r="E90">
        <f>_XLL.ENTROPY('simple Brayton Cycle'!$A$10,"PT",'T-s diagr. data'!$E$5,'T-s diagr. data'!B90-273.15)</f>
        <v>6.795611717690075</v>
      </c>
      <c r="G90" s="1">
        <f>G89+('simple Brayton Cycle'!$D$52-'simple Brayton Cycle'!$D$44)/100</f>
        <v>7.39752368956019</v>
      </c>
      <c r="H90" s="6">
        <f>_XLL.TEMPERATURE('simple Brayton Cycle'!$A$10,"Ps",'T-s diagr. data'!$E$5,'T-s diagr. data'!G90)+273.15</f>
        <v>737.3399671039784</v>
      </c>
      <c r="I90" s="6"/>
      <c r="J90" s="1">
        <f>J89-($J$8-'simple Brayton Cycle'!$D$33)/100</f>
        <v>6.969861778510326</v>
      </c>
      <c r="K90" s="6">
        <f>_XLL.TEMPERATURE('simple Brayton Cycle'!$A$10,"Ps",'T-s diagr. data'!$C$5,'T-s diagr. data'!J90)+273.15</f>
        <v>332.9918269730174</v>
      </c>
      <c r="L90" s="6"/>
      <c r="M90">
        <f t="shared" si="14"/>
        <v>3.4623399999999944</v>
      </c>
      <c r="N90" s="6">
        <f t="shared" si="10"/>
        <v>6.8418107413291445</v>
      </c>
      <c r="O90" s="1">
        <f>_XLL.TEMPERATURE('simple Brayton Cycle'!$A$10,"Ps",M90,N90)+273.15</f>
        <v>415.9503334547265</v>
      </c>
      <c r="Q90">
        <f t="shared" si="15"/>
        <v>1.5506600000000095</v>
      </c>
      <c r="R90" s="6">
        <f t="shared" si="11"/>
        <v>7.483906877590238</v>
      </c>
      <c r="S90" s="1">
        <f>_XLL.TEMPERATURE('simple Brayton Cycle'!$A$10,"Ps",Q90,R90)+273.15</f>
        <v>619.7537133918594</v>
      </c>
      <c r="U90" s="8">
        <f t="shared" si="12"/>
        <v>6.97480616092631</v>
      </c>
      <c r="V90">
        <f t="shared" si="16"/>
        <v>469.021827522232</v>
      </c>
      <c r="Z90" s="8">
        <f t="shared" si="17"/>
        <v>7.540731659681482</v>
      </c>
      <c r="AA90">
        <f t="shared" si="18"/>
        <v>626.9254717287728</v>
      </c>
    </row>
    <row r="91" spans="2:27" ht="15">
      <c r="B91">
        <f t="shared" si="13"/>
        <v>416</v>
      </c>
      <c r="C91">
        <f>_XLL.ENTROPY('simple Brayton Cycle'!$A$10,"PT",'T-s diagr. data'!$C$5,'T-s diagr. data'!B91-273.15)</f>
        <v>7.194663192751221</v>
      </c>
      <c r="E91">
        <f>_XLL.ENTROPY('simple Brayton Cycle'!$A$10,"PT",'T-s diagr. data'!$E$5,'T-s diagr. data'!B91-273.15)</f>
        <v>6.800503580531636</v>
      </c>
      <c r="G91" s="1">
        <f>G90+('simple Brayton Cycle'!$D$52-'simple Brayton Cycle'!$D$44)/100</f>
        <v>7.40232275556186</v>
      </c>
      <c r="H91" s="6">
        <f>_XLL.TEMPERATURE('simple Brayton Cycle'!$A$10,"Ps",'T-s diagr. data'!$E$5,'T-s diagr. data'!G91)+273.15</f>
        <v>740.6139598875513</v>
      </c>
      <c r="I91" s="6"/>
      <c r="J91" s="1">
        <f>J90-($J$8-'simple Brayton Cycle'!$D$33)/100</f>
        <v>6.962747832000262</v>
      </c>
      <c r="K91" s="6">
        <f>_XLL.TEMPERATURE('simple Brayton Cycle'!$A$10,"Ps",'T-s diagr. data'!$C$5,'T-s diagr. data'!J91)+273.15</f>
        <v>330.64545169015145</v>
      </c>
      <c r="L91" s="6"/>
      <c r="M91">
        <f t="shared" si="14"/>
        <v>3.4922099999999943</v>
      </c>
      <c r="N91" s="6">
        <f t="shared" si="10"/>
        <v>6.8418107413291445</v>
      </c>
      <c r="O91" s="1">
        <f>_XLL.TEMPERATURE('simple Brayton Cycle'!$A$10,"Ps",M91,N91)+273.15</f>
        <v>416.9616116658216</v>
      </c>
      <c r="Q91">
        <f t="shared" si="15"/>
        <v>1.5207900000000094</v>
      </c>
      <c r="R91" s="6">
        <f t="shared" si="11"/>
        <v>7.483906877590238</v>
      </c>
      <c r="S91" s="1">
        <f>_XLL.TEMPERATURE('simple Brayton Cycle'!$A$10,"Ps",Q91,R91)+273.15</f>
        <v>616.4809743374142</v>
      </c>
      <c r="U91" s="8">
        <f t="shared" si="12"/>
        <v>6.976428056287251</v>
      </c>
      <c r="V91">
        <f t="shared" si="16"/>
        <v>471.16660590664947</v>
      </c>
      <c r="Z91" s="8">
        <f t="shared" si="17"/>
        <v>7.541424644828936</v>
      </c>
      <c r="AA91">
        <f t="shared" si="18"/>
        <v>624.8373677254651</v>
      </c>
    </row>
    <row r="92" spans="2:27" ht="15">
      <c r="B92">
        <f t="shared" si="13"/>
        <v>418</v>
      </c>
      <c r="C92">
        <f>_XLL.ENTROPY('simple Brayton Cycle'!$A$10,"PT",'T-s diagr. data'!$C$5,'T-s diagr. data'!B92-273.15)</f>
        <v>7.199532943351371</v>
      </c>
      <c r="E92">
        <f>_XLL.ENTROPY('simple Brayton Cycle'!$A$10,"PT",'T-s diagr. data'!$E$5,'T-s diagr. data'!B92-273.15)</f>
        <v>6.805373331131787</v>
      </c>
      <c r="G92" s="1">
        <f>G91+('simple Brayton Cycle'!$D$52-'simple Brayton Cycle'!$D$44)/100</f>
        <v>7.40712182156353</v>
      </c>
      <c r="H92" s="6">
        <f>_XLL.TEMPERATURE('simple Brayton Cycle'!$A$10,"Ps",'T-s diagr. data'!$E$5,'T-s diagr. data'!G92)+273.15</f>
        <v>743.9000751819405</v>
      </c>
      <c r="I92" s="6"/>
      <c r="J92" s="1">
        <f>J91-($J$8-'simple Brayton Cycle'!$D$33)/100</f>
        <v>6.955633885490197</v>
      </c>
      <c r="K92" s="6">
        <f>_XLL.TEMPERATURE('simple Brayton Cycle'!$A$10,"Ps",'T-s diagr. data'!$C$5,'T-s diagr. data'!J92)+273.15</f>
        <v>328.315216056595</v>
      </c>
      <c r="L92" s="6"/>
      <c r="M92">
        <f t="shared" si="14"/>
        <v>3.522079999999994</v>
      </c>
      <c r="N92" s="6">
        <f t="shared" si="10"/>
        <v>6.8418107413291445</v>
      </c>
      <c r="O92" s="1">
        <f>_XLL.TEMPERATURE('simple Brayton Cycle'!$A$10,"Ps",M92,N92)+273.15</f>
        <v>417.9665628810736</v>
      </c>
      <c r="Q92">
        <f t="shared" si="15"/>
        <v>1.4909200000000093</v>
      </c>
      <c r="R92" s="6">
        <f t="shared" si="11"/>
        <v>7.483906877590238</v>
      </c>
      <c r="S92" s="1">
        <f>_XLL.TEMPERATURE('simple Brayton Cycle'!$A$10,"Ps",Q92,R92)+273.15</f>
        <v>613.1587256148387</v>
      </c>
      <c r="U92" s="8">
        <f t="shared" si="12"/>
        <v>6.978049951648192</v>
      </c>
      <c r="V92">
        <f t="shared" si="16"/>
        <v>473.31138429106693</v>
      </c>
      <c r="Z92" s="8">
        <f t="shared" si="17"/>
        <v>7.54211762997639</v>
      </c>
      <c r="AA92">
        <f t="shared" si="18"/>
        <v>622.7492637221575</v>
      </c>
    </row>
    <row r="93" spans="2:27" ht="15">
      <c r="B93">
        <f t="shared" si="13"/>
        <v>420</v>
      </c>
      <c r="C93">
        <f>_XLL.ENTROPY('simple Brayton Cycle'!$A$10,"PT",'T-s diagr. data'!$C$5,'T-s diagr. data'!B93-273.15)</f>
        <v>7.204380805840051</v>
      </c>
      <c r="E93">
        <f>_XLL.ENTROPY('simple Brayton Cycle'!$A$10,"PT",'T-s diagr. data'!$E$5,'T-s diagr. data'!B93-273.15)</f>
        <v>6.810221193620466</v>
      </c>
      <c r="G93" s="1">
        <f>G92+('simple Brayton Cycle'!$D$52-'simple Brayton Cycle'!$D$44)/100</f>
        <v>7.4119208875652</v>
      </c>
      <c r="H93" s="6">
        <f>_XLL.TEMPERATURE('simple Brayton Cycle'!$A$10,"Ps",'T-s diagr. data'!$E$5,'T-s diagr. data'!G93)+273.15</f>
        <v>747.1983409759165</v>
      </c>
      <c r="I93" s="6"/>
      <c r="J93" s="1">
        <f>J92-($J$8-'simple Brayton Cycle'!$D$33)/100</f>
        <v>6.948519938980133</v>
      </c>
      <c r="K93" s="6">
        <f>_XLL.TEMPERATURE('simple Brayton Cycle'!$A$10,"Ps",'T-s diagr. data'!$C$5,'T-s diagr. data'!J93)+273.15</f>
        <v>326.0010257318031</v>
      </c>
      <c r="L93" s="6"/>
      <c r="M93">
        <f t="shared" si="14"/>
        <v>3.551949999999994</v>
      </c>
      <c r="N93" s="6">
        <f t="shared" si="10"/>
        <v>6.8418107413291445</v>
      </c>
      <c r="O93" s="1">
        <f>_XLL.TEMPERATURE('simple Brayton Cycle'!$A$10,"Ps",M93,N93)+273.15</f>
        <v>418.96527853648877</v>
      </c>
      <c r="Q93">
        <f t="shared" si="15"/>
        <v>1.4610500000000093</v>
      </c>
      <c r="R93" s="6">
        <f t="shared" si="11"/>
        <v>7.483906877590238</v>
      </c>
      <c r="S93" s="1">
        <f>_XLL.TEMPERATURE('simple Brayton Cycle'!$A$10,"Ps",Q93,R93)+273.15</f>
        <v>609.7852345894573</v>
      </c>
      <c r="U93" s="8">
        <f t="shared" si="12"/>
        <v>6.979671847009133</v>
      </c>
      <c r="V93">
        <f t="shared" si="16"/>
        <v>475.4561626754844</v>
      </c>
      <c r="Z93" s="8">
        <f t="shared" si="17"/>
        <v>7.5428106151238445</v>
      </c>
      <c r="AA93">
        <f t="shared" si="18"/>
        <v>620.6611597188498</v>
      </c>
    </row>
    <row r="94" spans="2:27" ht="15">
      <c r="B94">
        <f t="shared" si="13"/>
        <v>422</v>
      </c>
      <c r="C94">
        <f>_XLL.ENTROPY('simple Brayton Cycle'!$A$10,"PT",'T-s diagr. data'!$C$5,'T-s diagr. data'!B94-273.15)</f>
        <v>7.209207001057972</v>
      </c>
      <c r="E94">
        <f>_XLL.ENTROPY('simple Brayton Cycle'!$A$10,"PT",'T-s diagr. data'!$E$5,'T-s diagr. data'!B94-273.15)</f>
        <v>6.815047388838388</v>
      </c>
      <c r="G94" s="1">
        <f>G93+('simple Brayton Cycle'!$D$52-'simple Brayton Cycle'!$D$44)/100</f>
        <v>7.41671995356687</v>
      </c>
      <c r="H94" s="6">
        <f>_XLL.TEMPERATURE('simple Brayton Cycle'!$A$10,"Ps",'T-s diagr. data'!$E$5,'T-s diagr. data'!G94)+273.15</f>
        <v>750.508785428601</v>
      </c>
      <c r="I94" s="6"/>
      <c r="J94" s="1">
        <f>J93-($J$8-'simple Brayton Cycle'!$D$33)/100</f>
        <v>6.941405992470068</v>
      </c>
      <c r="K94" s="6">
        <f>_XLL.TEMPERATURE('simple Brayton Cycle'!$A$10,"Ps",'T-s diagr. data'!$C$5,'T-s diagr. data'!J94)+273.15</f>
        <v>323.7027865324211</v>
      </c>
      <c r="L94" s="6"/>
      <c r="M94">
        <f t="shared" si="14"/>
        <v>3.581819999999994</v>
      </c>
      <c r="N94" s="6">
        <f t="shared" si="10"/>
        <v>6.8418107413291445</v>
      </c>
      <c r="O94" s="1">
        <f>_XLL.TEMPERATURE('simple Brayton Cycle'!$A$10,"Ps",M94,N94)+273.15</f>
        <v>419.9578479949296</v>
      </c>
      <c r="Q94">
        <f t="shared" si="15"/>
        <v>1.4311800000000092</v>
      </c>
      <c r="R94" s="6">
        <f t="shared" si="11"/>
        <v>7.483906877590238</v>
      </c>
      <c r="S94" s="1">
        <f>_XLL.TEMPERATURE('simple Brayton Cycle'!$A$10,"Ps",Q94,R94)+273.15</f>
        <v>606.358671626012</v>
      </c>
      <c r="U94" s="8">
        <f t="shared" si="12"/>
        <v>6.981293742370074</v>
      </c>
      <c r="V94">
        <f t="shared" si="16"/>
        <v>477.60094105990186</v>
      </c>
      <c r="Z94" s="8">
        <f t="shared" si="17"/>
        <v>7.543503600271299</v>
      </c>
      <c r="AA94">
        <f t="shared" si="18"/>
        <v>618.5730557155422</v>
      </c>
    </row>
    <row r="95" spans="2:27" ht="15">
      <c r="B95">
        <f t="shared" si="13"/>
        <v>424</v>
      </c>
      <c r="C95">
        <f>_XLL.ENTROPY('simple Brayton Cycle'!$A$10,"PT",'T-s diagr. data'!$C$5,'T-s diagr. data'!B95-273.15)</f>
        <v>7.21401174661896</v>
      </c>
      <c r="E95">
        <f>_XLL.ENTROPY('simple Brayton Cycle'!$A$10,"PT",'T-s diagr. data'!$E$5,'T-s diagr. data'!B95-273.15)</f>
        <v>6.819852134399375</v>
      </c>
      <c r="G95" s="1">
        <f>G94+('simple Brayton Cycle'!$D$52-'simple Brayton Cycle'!$D$44)/100</f>
        <v>7.4215190195685405</v>
      </c>
      <c r="H95" s="6">
        <f>_XLL.TEMPERATURE('simple Brayton Cycle'!$A$10,"Ps",'T-s diagr. data'!$E$5,'T-s diagr. data'!G95)+273.15</f>
        <v>753.8314368760485</v>
      </c>
      <c r="I95" s="6"/>
      <c r="J95" s="1">
        <f>J94-($J$8-'simple Brayton Cycle'!$D$33)/100</f>
        <v>6.934292045960004</v>
      </c>
      <c r="K95" s="6">
        <f>_XLL.TEMPERATURE('simple Brayton Cycle'!$A$10,"Ps",'T-s diagr. data'!$C$5,'T-s diagr. data'!J95)+273.15</f>
        <v>321.42040443985945</v>
      </c>
      <c r="L95" s="6"/>
      <c r="M95">
        <f t="shared" si="14"/>
        <v>3.6116899999999936</v>
      </c>
      <c r="N95" s="6">
        <f t="shared" si="10"/>
        <v>6.8418107413291445</v>
      </c>
      <c r="O95" s="1">
        <f>_XLL.TEMPERATURE('simple Brayton Cycle'!$A$10,"Ps",M95,N95)+273.15</f>
        <v>420.9443586099481</v>
      </c>
      <c r="Q95">
        <f t="shared" si="15"/>
        <v>1.4013100000000092</v>
      </c>
      <c r="R95" s="6">
        <f t="shared" si="11"/>
        <v>7.483906877590238</v>
      </c>
      <c r="S95" s="1">
        <f>_XLL.TEMPERATURE('simple Brayton Cycle'!$A$10,"Ps",Q95,R95)+273.15</f>
        <v>602.877102519145</v>
      </c>
      <c r="U95" s="8">
        <f t="shared" si="12"/>
        <v>6.982915637731015</v>
      </c>
      <c r="V95">
        <f t="shared" si="16"/>
        <v>479.7457194443193</v>
      </c>
      <c r="Z95" s="8">
        <f t="shared" si="17"/>
        <v>7.544196585418753</v>
      </c>
      <c r="AA95">
        <f t="shared" si="18"/>
        <v>616.4849517122345</v>
      </c>
    </row>
    <row r="96" spans="2:27" ht="15">
      <c r="B96">
        <f t="shared" si="13"/>
        <v>426</v>
      </c>
      <c r="C96">
        <f>_XLL.ENTROPY('simple Brayton Cycle'!$A$10,"PT",'T-s diagr. data'!$C$5,'T-s diagr. data'!B96-273.15)</f>
        <v>7.21879525697084</v>
      </c>
      <c r="E96">
        <f>_XLL.ENTROPY('simple Brayton Cycle'!$A$10,"PT",'T-s diagr. data'!$E$5,'T-s diagr. data'!B96-273.15)</f>
        <v>6.824635644751256</v>
      </c>
      <c r="G96" s="1">
        <f>G95+('simple Brayton Cycle'!$D$52-'simple Brayton Cycle'!$D$44)/100</f>
        <v>7.426318085570211</v>
      </c>
      <c r="H96" s="6">
        <f>_XLL.TEMPERATURE('simple Brayton Cycle'!$A$10,"Ps",'T-s diagr. data'!$E$5,'T-s diagr. data'!G96)+273.15</f>
        <v>757.1663238379155</v>
      </c>
      <c r="I96" s="6"/>
      <c r="J96" s="1">
        <f>J95-($J$8-'simple Brayton Cycle'!$D$33)/100</f>
        <v>6.9271780994499395</v>
      </c>
      <c r="K96" s="6">
        <f>_XLL.TEMPERATURE('simple Brayton Cycle'!$A$10,"Ps",'T-s diagr. data'!$C$5,'T-s diagr. data'!J96)+273.15</f>
        <v>319.1537856077656</v>
      </c>
      <c r="L96" s="6"/>
      <c r="M96">
        <f t="shared" si="14"/>
        <v>3.6415599999999935</v>
      </c>
      <c r="N96" s="6">
        <f t="shared" si="10"/>
        <v>6.8418107413291445</v>
      </c>
      <c r="O96" s="1">
        <f>_XLL.TEMPERATURE('simple Brayton Cycle'!$A$10,"Ps",M96,N96)+273.15</f>
        <v>421.9248957871534</v>
      </c>
      <c r="Q96">
        <f t="shared" si="15"/>
        <v>1.371440000000009</v>
      </c>
      <c r="R96" s="6">
        <f t="shared" si="11"/>
        <v>7.483906877590238</v>
      </c>
      <c r="S96" s="1">
        <f>_XLL.TEMPERATURE('simple Brayton Cycle'!$A$10,"Ps",Q96,R96)+273.15</f>
        <v>599.33848015848</v>
      </c>
      <c r="U96" s="8">
        <f t="shared" si="12"/>
        <v>6.984537533091956</v>
      </c>
      <c r="V96">
        <f t="shared" si="16"/>
        <v>481.8904978287368</v>
      </c>
      <c r="Z96" s="8">
        <f t="shared" si="17"/>
        <v>7.544889570566207</v>
      </c>
      <c r="AA96">
        <f t="shared" si="18"/>
        <v>614.3968477089269</v>
      </c>
    </row>
    <row r="97" spans="2:27" ht="15">
      <c r="B97">
        <f t="shared" si="13"/>
        <v>428</v>
      </c>
      <c r="C97">
        <f>_XLL.ENTROPY('simple Brayton Cycle'!$A$10,"PT",'T-s diagr. data'!$C$5,'T-s diagr. data'!B97-273.15)</f>
        <v>7.223557743454902</v>
      </c>
      <c r="E97">
        <f>_XLL.ENTROPY('simple Brayton Cycle'!$A$10,"PT",'T-s diagr. data'!$E$5,'T-s diagr. data'!B97-273.15)</f>
        <v>6.829398131235317</v>
      </c>
      <c r="G97" s="1">
        <f>G96+('simple Brayton Cycle'!$D$52-'simple Brayton Cycle'!$D$44)/100</f>
        <v>7.431117151571881</v>
      </c>
      <c r="H97" s="6">
        <f>_XLL.TEMPERATURE('simple Brayton Cycle'!$A$10,"Ps",'T-s diagr. data'!$E$5,'T-s diagr. data'!G97)+273.15</f>
        <v>760.5134750242838</v>
      </c>
      <c r="I97" s="6"/>
      <c r="J97" s="1">
        <f>J96-($J$8-'simple Brayton Cycle'!$D$33)/100</f>
        <v>6.920064152939875</v>
      </c>
      <c r="K97" s="6">
        <f>_XLL.TEMPERATURE('simple Brayton Cycle'!$A$10,"Ps",'T-s diagr. data'!$C$5,'T-s diagr. data'!J97)+273.15</f>
        <v>316.9028363693927</v>
      </c>
      <c r="L97" s="6"/>
      <c r="M97">
        <f t="shared" si="14"/>
        <v>3.6714299999999933</v>
      </c>
      <c r="N97" s="6">
        <f t="shared" si="10"/>
        <v>6.8418107413291445</v>
      </c>
      <c r="O97" s="1">
        <f>_XLL.TEMPERATURE('simple Brayton Cycle'!$A$10,"Ps",M97,N97)+273.15</f>
        <v>422.89954304321213</v>
      </c>
      <c r="Q97">
        <f t="shared" si="15"/>
        <v>1.341570000000009</v>
      </c>
      <c r="R97" s="6">
        <f t="shared" si="11"/>
        <v>7.483906877590238</v>
      </c>
      <c r="S97" s="1">
        <f>_XLL.TEMPERATURE('simple Brayton Cycle'!$A$10,"Ps",Q97,R97)+273.15</f>
        <v>595.7406353324606</v>
      </c>
      <c r="U97" s="8">
        <f t="shared" si="12"/>
        <v>6.986159428452897</v>
      </c>
      <c r="V97">
        <f t="shared" si="16"/>
        <v>484.03527621315425</v>
      </c>
      <c r="Z97" s="8">
        <f t="shared" si="17"/>
        <v>7.545582555713661</v>
      </c>
      <c r="AA97">
        <f t="shared" si="18"/>
        <v>612.3087437056192</v>
      </c>
    </row>
    <row r="98" spans="2:27" ht="15">
      <c r="B98">
        <f t="shared" si="13"/>
        <v>430</v>
      </c>
      <c r="C98">
        <f>_XLL.ENTROPY('simple Brayton Cycle'!$A$10,"PT",'T-s diagr. data'!$C$5,'T-s diagr. data'!B98-273.15)</f>
        <v>7.22829941436397</v>
      </c>
      <c r="E98">
        <f>_XLL.ENTROPY('simple Brayton Cycle'!$A$10,"PT",'T-s diagr. data'!$E$5,'T-s diagr. data'!B98-273.15)</f>
        <v>6.834139802144385</v>
      </c>
      <c r="G98" s="1">
        <f>G97+('simple Brayton Cycle'!$D$52-'simple Brayton Cycle'!$D$44)/100</f>
        <v>7.435916217573551</v>
      </c>
      <c r="H98" s="6">
        <f>_XLL.TEMPERATURE('simple Brayton Cycle'!$A$10,"Ps",'T-s diagr. data'!$E$5,'T-s diagr. data'!G98)+273.15</f>
        <v>763.8729193425712</v>
      </c>
      <c r="I98" s="6"/>
      <c r="J98" s="1">
        <f>J97-($J$8-'simple Brayton Cycle'!$D$33)/100</f>
        <v>6.9129502064298105</v>
      </c>
      <c r="K98" s="6">
        <f>_XLL.TEMPERATURE('simple Brayton Cycle'!$A$10,"Ps",'T-s diagr. data'!$C$5,'T-s diagr. data'!J98)+273.15</f>
        <v>314.6674632448687</v>
      </c>
      <c r="L98" s="6"/>
      <c r="M98">
        <f t="shared" si="14"/>
        <v>3.701299999999993</v>
      </c>
      <c r="N98" s="6">
        <f t="shared" si="10"/>
        <v>6.8418107413291445</v>
      </c>
      <c r="O98" s="1">
        <f>_XLL.TEMPERATURE('simple Brayton Cycle'!$A$10,"Ps",M98,N98)+273.15</f>
        <v>423.8683820625961</v>
      </c>
      <c r="Q98">
        <f t="shared" si="15"/>
        <v>1.311700000000009</v>
      </c>
      <c r="R98" s="6">
        <f t="shared" si="11"/>
        <v>7.483906877590238</v>
      </c>
      <c r="S98" s="1">
        <f>_XLL.TEMPERATURE('simple Brayton Cycle'!$A$10,"Ps",Q98,R98)+273.15</f>
        <v>592.0812665606381</v>
      </c>
      <c r="U98" s="8">
        <f t="shared" si="12"/>
        <v>6.987781323813838</v>
      </c>
      <c r="V98">
        <f t="shared" si="16"/>
        <v>486.1800545975717</v>
      </c>
      <c r="Z98" s="8">
        <f t="shared" si="17"/>
        <v>7.5462755408611155</v>
      </c>
      <c r="AA98">
        <f t="shared" si="18"/>
        <v>610.2206397023116</v>
      </c>
    </row>
    <row r="99" spans="2:27" ht="15">
      <c r="B99">
        <f t="shared" si="13"/>
        <v>432</v>
      </c>
      <c r="C99">
        <f>_XLL.ENTROPY('simple Brayton Cycle'!$A$10,"PT",'T-s diagr. data'!$C$5,'T-s diagr. data'!B99-273.15)</f>
        <v>7.2330204749991305</v>
      </c>
      <c r="E99">
        <f>_XLL.ENTROPY('simple Brayton Cycle'!$A$10,"PT",'T-s diagr. data'!$E$5,'T-s diagr. data'!B99-273.15)</f>
        <v>6.838860862779545</v>
      </c>
      <c r="G99" s="1">
        <f>G98+('simple Brayton Cycle'!$D$52-'simple Brayton Cycle'!$D$44)/100</f>
        <v>7.440715283575221</v>
      </c>
      <c r="H99" s="6">
        <f>_XLL.TEMPERATURE('simple Brayton Cycle'!$A$10,"Ps",'T-s diagr. data'!$E$5,'T-s diagr. data'!G99)+273.15</f>
        <v>767.2446859045937</v>
      </c>
      <c r="I99" s="6"/>
      <c r="J99" s="1">
        <f>J98-($J$8-'simple Brayton Cycle'!$D$33)/100</f>
        <v>6.905836259919746</v>
      </c>
      <c r="K99" s="6">
        <f>_XLL.TEMPERATURE('simple Brayton Cycle'!$A$10,"Ps",'T-s diagr. data'!$C$5,'T-s diagr. data'!J99)+273.15</f>
        <v>312.44757294835654</v>
      </c>
      <c r="L99" s="6"/>
      <c r="M99">
        <f t="shared" si="14"/>
        <v>3.731169999999993</v>
      </c>
      <c r="N99" s="6">
        <f t="shared" si="10"/>
        <v>6.8418107413291445</v>
      </c>
      <c r="O99" s="1">
        <f>_XLL.TEMPERATURE('simple Brayton Cycle'!$A$10,"Ps",M99,N99)+273.15</f>
        <v>424.83149252333124</v>
      </c>
      <c r="Q99">
        <f t="shared" si="15"/>
        <v>1.281830000000009</v>
      </c>
      <c r="R99" s="6">
        <f t="shared" si="11"/>
        <v>7.483906877590238</v>
      </c>
      <c r="S99" s="1">
        <f>_XLL.TEMPERATURE('simple Brayton Cycle'!$A$10,"Ps",Q99,R99)+273.15</f>
        <v>588.3579288271332</v>
      </c>
      <c r="U99" s="8">
        <f t="shared" si="12"/>
        <v>6.989403219174779</v>
      </c>
      <c r="V99">
        <f t="shared" si="16"/>
        <v>488.3248329819892</v>
      </c>
      <c r="Z99" s="8">
        <f t="shared" si="17"/>
        <v>7.54696852600857</v>
      </c>
      <c r="AA99">
        <f t="shared" si="18"/>
        <v>608.1325356990039</v>
      </c>
    </row>
    <row r="100" spans="2:27" ht="15">
      <c r="B100">
        <f t="shared" si="13"/>
        <v>434</v>
      </c>
      <c r="C100">
        <f>_XLL.ENTROPY('simple Brayton Cycle'!$A$10,"PT",'T-s diagr. data'!$C$5,'T-s diagr. data'!B100-273.15)</f>
        <v>7.237721127725142</v>
      </c>
      <c r="E100">
        <f>_XLL.ENTROPY('simple Brayton Cycle'!$A$10,"PT",'T-s diagr. data'!$E$5,'T-s diagr. data'!B100-273.15)</f>
        <v>6.843561515505558</v>
      </c>
      <c r="G100" s="1">
        <f>G99+('simple Brayton Cycle'!$D$52-'simple Brayton Cycle'!$D$44)/100</f>
        <v>7.445514349576891</v>
      </c>
      <c r="H100" s="6">
        <f>_XLL.TEMPERATURE('simple Brayton Cycle'!$A$10,"Ps",'T-s diagr. data'!$E$5,'T-s diagr. data'!G100)+273.15</f>
        <v>770.628804033723</v>
      </c>
      <c r="I100" s="6"/>
      <c r="J100" s="1">
        <f>J99-($J$8-'simple Brayton Cycle'!$D$33)/100</f>
        <v>6.898722313409682</v>
      </c>
      <c r="K100" s="6">
        <f>_XLL.TEMPERATURE('simple Brayton Cycle'!$A$10,"Ps",'T-s diagr. data'!$C$5,'T-s diagr. data'!J100)+273.15</f>
        <v>310.24307239510995</v>
      </c>
      <c r="L100" s="6"/>
      <c r="M100">
        <f t="shared" si="14"/>
        <v>3.761039999999993</v>
      </c>
      <c r="N100" s="6">
        <f t="shared" si="10"/>
        <v>6.8418107413291445</v>
      </c>
      <c r="O100" s="1">
        <f>_XLL.TEMPERATURE('simple Brayton Cycle'!$A$10,"Ps",M100,N100)+273.15</f>
        <v>425.7889533194741</v>
      </c>
      <c r="Q100">
        <f t="shared" si="15"/>
        <v>1.2519600000000088</v>
      </c>
      <c r="R100" s="6">
        <f t="shared" si="11"/>
        <v>7.483906877590238</v>
      </c>
      <c r="S100" s="1">
        <f>_XLL.TEMPERATURE('simple Brayton Cycle'!$A$10,"Ps",Q100,R100)+273.15</f>
        <v>584.5680210679612</v>
      </c>
      <c r="U100" s="8">
        <f t="shared" si="12"/>
        <v>6.99102511453572</v>
      </c>
      <c r="V100">
        <f t="shared" si="16"/>
        <v>490.46961136640664</v>
      </c>
      <c r="Z100" s="8">
        <f t="shared" si="17"/>
        <v>7.547661511156024</v>
      </c>
      <c r="AA100">
        <f t="shared" si="18"/>
        <v>606.0444316956963</v>
      </c>
    </row>
    <row r="101" spans="2:27" ht="15">
      <c r="B101">
        <f t="shared" si="13"/>
        <v>436</v>
      </c>
      <c r="C101">
        <f>_XLL.ENTROPY('simple Brayton Cycle'!$A$10,"PT",'T-s diagr. data'!$C$5,'T-s diagr. data'!B101-273.15)</f>
        <v>7.242401572024589</v>
      </c>
      <c r="E101">
        <f>_XLL.ENTROPY('simple Brayton Cycle'!$A$10,"PT",'T-s diagr. data'!$E$5,'T-s diagr. data'!B101-273.15)</f>
        <v>6.848241959805003</v>
      </c>
      <c r="G101" s="1">
        <f>G100+('simple Brayton Cycle'!$D$52-'simple Brayton Cycle'!$D$44)/100</f>
        <v>7.450313415578561</v>
      </c>
      <c r="H101" s="6">
        <f>_XLL.TEMPERATURE('simple Brayton Cycle'!$A$10,"Ps",'T-s diagr. data'!$E$5,'T-s diagr. data'!G101)+273.15</f>
        <v>774.0253032721969</v>
      </c>
      <c r="I101" s="6"/>
      <c r="J101" s="1">
        <f>J100-($J$8-'simple Brayton Cycle'!$D$33)/100</f>
        <v>6.891608366899617</v>
      </c>
      <c r="K101" s="6">
        <f>_XLL.TEMPERATURE('simple Brayton Cycle'!$A$10,"Ps",'T-s diagr. data'!$C$5,'T-s diagr. data'!J101)+273.15</f>
        <v>308.0538687084172</v>
      </c>
      <c r="L101" s="6"/>
      <c r="M101">
        <f t="shared" si="14"/>
        <v>3.7909099999999927</v>
      </c>
      <c r="N101" s="6">
        <f t="shared" si="10"/>
        <v>6.8418107413291445</v>
      </c>
      <c r="O101" s="1">
        <f>_XLL.TEMPERATURE('simple Brayton Cycle'!$A$10,"Ps",M101,N101)+273.15</f>
        <v>426.74084019491875</v>
      </c>
      <c r="Q101">
        <f t="shared" si="15"/>
        <v>1.2220900000000088</v>
      </c>
      <c r="R101" s="6">
        <f t="shared" si="11"/>
        <v>7.483906877590238</v>
      </c>
      <c r="S101" s="1">
        <f>_XLL.TEMPERATURE('simple Brayton Cycle'!$A$10,"Ps",Q101,R101)+273.15</f>
        <v>580.7087722411328</v>
      </c>
      <c r="U101" s="8">
        <f t="shared" si="12"/>
        <v>6.992647009896661</v>
      </c>
      <c r="V101">
        <f t="shared" si="16"/>
        <v>492.6143897508241</v>
      </c>
      <c r="Z101" s="8">
        <f t="shared" si="17"/>
        <v>7.548354496303478</v>
      </c>
      <c r="AA101">
        <f t="shared" si="18"/>
        <v>603.9563276923886</v>
      </c>
    </row>
    <row r="102" spans="2:27" ht="15">
      <c r="B102">
        <f t="shared" si="13"/>
        <v>438</v>
      </c>
      <c r="C102">
        <f>_XLL.ENTROPY('simple Brayton Cycle'!$A$10,"PT",'T-s diagr. data'!$C$5,'T-s diagr. data'!B102-273.15)</f>
        <v>7.247062004550769</v>
      </c>
      <c r="E102">
        <f>_XLL.ENTROPY('simple Brayton Cycle'!$A$10,"PT",'T-s diagr. data'!$E$5,'T-s diagr. data'!B102-273.15)</f>
        <v>6.852902392331185</v>
      </c>
      <c r="G102" s="1">
        <f>G101+('simple Brayton Cycle'!$D$52-'simple Brayton Cycle'!$D$44)/100</f>
        <v>7.455112481580231</v>
      </c>
      <c r="H102" s="6">
        <f>_XLL.TEMPERATURE('simple Brayton Cycle'!$A$10,"Ps",'T-s diagr. data'!$E$5,'T-s diagr. data'!G102)+273.15</f>
        <v>777.4342133885336</v>
      </c>
      <c r="I102" s="6"/>
      <c r="J102" s="1">
        <f>J101-($J$8-'simple Brayton Cycle'!$D$33)/100</f>
        <v>6.884494420389553</v>
      </c>
      <c r="K102" s="6">
        <f>_XLL.TEMPERATURE('simple Brayton Cycle'!$A$10,"Ps",'T-s diagr. data'!$C$5,'T-s diagr. data'!J102)+273.15</f>
        <v>305.87986922643995</v>
      </c>
      <c r="L102" s="6"/>
      <c r="M102">
        <f t="shared" si="14"/>
        <v>3.8207799999999925</v>
      </c>
      <c r="N102" s="6">
        <f t="shared" si="10"/>
        <v>6.8418107413291445</v>
      </c>
      <c r="O102" s="1">
        <f>_XLL.TEMPERATURE('simple Brayton Cycle'!$A$10,"Ps",M102,N102)+273.15</f>
        <v>427.6872283370677</v>
      </c>
      <c r="Q102">
        <f t="shared" si="15"/>
        <v>1.1922200000000087</v>
      </c>
      <c r="R102" s="6">
        <f t="shared" si="11"/>
        <v>7.483906877590238</v>
      </c>
      <c r="S102" s="1">
        <f>_XLL.TEMPERATURE('simple Brayton Cycle'!$A$10,"Ps",Q102,R102)+273.15</f>
        <v>576.7772257801241</v>
      </c>
      <c r="U102" s="8">
        <f t="shared" si="12"/>
        <v>6.994268905257602</v>
      </c>
      <c r="V102">
        <f t="shared" si="16"/>
        <v>494.75916813524157</v>
      </c>
      <c r="Z102" s="8">
        <f t="shared" si="17"/>
        <v>7.549047481450932</v>
      </c>
      <c r="AA102">
        <f t="shared" si="18"/>
        <v>601.868223689081</v>
      </c>
    </row>
    <row r="103" spans="2:27" ht="15">
      <c r="B103">
        <f t="shared" si="13"/>
        <v>440</v>
      </c>
      <c r="C103">
        <f>_XLL.ENTROPY('simple Brayton Cycle'!$A$10,"PT",'T-s diagr. data'!$C$5,'T-s diagr. data'!B103-273.15)</f>
        <v>7.251702619179406</v>
      </c>
      <c r="E103">
        <f>_XLL.ENTROPY('simple Brayton Cycle'!$A$10,"PT",'T-s diagr. data'!$E$5,'T-s diagr. data'!B103-273.15)</f>
        <v>6.857543006959821</v>
      </c>
      <c r="G103" s="1">
        <f>G102+('simple Brayton Cycle'!$D$52-'simple Brayton Cycle'!$D$44)/100</f>
        <v>7.459911547581902</v>
      </c>
      <c r="H103" s="6">
        <f>_XLL.TEMPERATURE('simple Brayton Cycle'!$A$10,"Ps",'T-s diagr. data'!$E$5,'T-s diagr. data'!G103)+273.15</f>
        <v>780.8555643850801</v>
      </c>
      <c r="I103" s="6"/>
      <c r="J103" s="1">
        <f>J102-($J$8-'simple Brayton Cycle'!$D$33)/100</f>
        <v>6.877380473879488</v>
      </c>
      <c r="K103" s="6">
        <f>_XLL.TEMPERATURE('simple Brayton Cycle'!$A$10,"Ps",'T-s diagr. data'!$C$5,'T-s diagr. data'!J103)+273.15</f>
        <v>303.72098150893964</v>
      </c>
      <c r="L103" s="6"/>
      <c r="M103">
        <f t="shared" si="14"/>
        <v>3.8506499999999924</v>
      </c>
      <c r="N103" s="6">
        <f t="shared" si="10"/>
        <v>6.8418107413291445</v>
      </c>
      <c r="O103" s="1">
        <f>_XLL.TEMPERATURE('simple Brayton Cycle'!$A$10,"Ps",M103,N103)+273.15</f>
        <v>428.62819102257043</v>
      </c>
      <c r="Q103">
        <f t="shared" si="15"/>
        <v>1.1623500000000087</v>
      </c>
      <c r="R103" s="6">
        <f t="shared" si="11"/>
        <v>7.483906877590238</v>
      </c>
      <c r="S103" s="1">
        <f>_XLL.TEMPERATURE('simple Brayton Cycle'!$A$10,"Ps",Q103,R103)+273.15</f>
        <v>572.7702221975604</v>
      </c>
      <c r="U103" s="8">
        <f t="shared" si="12"/>
        <v>6.995890800618543</v>
      </c>
      <c r="V103">
        <f t="shared" si="16"/>
        <v>496.90394651965903</v>
      </c>
      <c r="Z103" s="8">
        <f t="shared" si="17"/>
        <v>7.5497404665983865</v>
      </c>
      <c r="AA103">
        <f t="shared" si="18"/>
        <v>599.7801196857733</v>
      </c>
    </row>
    <row r="104" spans="2:27" ht="15">
      <c r="B104">
        <f t="shared" si="13"/>
        <v>442</v>
      </c>
      <c r="C104">
        <f>_XLL.ENTROPY('simple Brayton Cycle'!$A$10,"PT",'T-s diagr. data'!$C$5,'T-s diagr. data'!B104-273.15)</f>
        <v>7.256323607059168</v>
      </c>
      <c r="E104">
        <f>_XLL.ENTROPY('simple Brayton Cycle'!$A$10,"PT",'T-s diagr. data'!$E$5,'T-s diagr. data'!B104-273.15)</f>
        <v>6.862163994839583</v>
      </c>
      <c r="G104" s="1">
        <f>G103+('simple Brayton Cycle'!$D$52-'simple Brayton Cycle'!$D$44)/100</f>
        <v>7.464710613583572</v>
      </c>
      <c r="H104" s="6">
        <f>_XLL.TEMPERATURE('simple Brayton Cycle'!$A$10,"Ps",'T-s diagr. data'!$E$5,'T-s diagr. data'!G104)+273.15</f>
        <v>784.2893865056986</v>
      </c>
      <c r="I104" s="6"/>
      <c r="J104" s="1">
        <f>J103-($J$8-'simple Brayton Cycle'!$D$33)/100</f>
        <v>6.870266527369424</v>
      </c>
      <c r="K104" s="6">
        <f>_XLL.TEMPERATURE('simple Brayton Cycle'!$A$10,"Ps",'T-s diagr. data'!$C$5,'T-s diagr. data'!J104)+273.15</f>
        <v>301.577113343897</v>
      </c>
      <c r="L104" s="6"/>
      <c r="M104">
        <f t="shared" si="14"/>
        <v>3.880519999999992</v>
      </c>
      <c r="N104" s="6">
        <f t="shared" si="10"/>
        <v>6.8418107413291445</v>
      </c>
      <c r="O104" s="1">
        <f>_XLL.TEMPERATURE('simple Brayton Cycle'!$A$10,"Ps",M104,N104)+273.15</f>
        <v>429.5638000193752</v>
      </c>
      <c r="Q104">
        <f t="shared" si="15"/>
        <v>1.1324800000000086</v>
      </c>
      <c r="R104" s="6">
        <f t="shared" si="11"/>
        <v>7.483906877590238</v>
      </c>
      <c r="S104" s="1">
        <f>_XLL.TEMPERATURE('simple Brayton Cycle'!$A$10,"Ps",Q104,R104)+273.15</f>
        <v>568.6843795653571</v>
      </c>
      <c r="U104" s="8">
        <f t="shared" si="12"/>
        <v>6.997512695979484</v>
      </c>
      <c r="V104">
        <f t="shared" si="16"/>
        <v>499.0487249040765</v>
      </c>
      <c r="Z104" s="8">
        <f t="shared" si="17"/>
        <v>7.550433451745841</v>
      </c>
      <c r="AA104">
        <f t="shared" si="18"/>
        <v>597.6920156824657</v>
      </c>
    </row>
    <row r="105" spans="2:27" ht="15">
      <c r="B105">
        <f t="shared" si="13"/>
        <v>444</v>
      </c>
      <c r="C105">
        <f>_XLL.ENTROPY('simple Brayton Cycle'!$A$10,"PT",'T-s diagr. data'!$C$5,'T-s diagr. data'!B105-273.15)</f>
        <v>7.260925156661052</v>
      </c>
      <c r="E105">
        <f>_XLL.ENTROPY('simple Brayton Cycle'!$A$10,"PT",'T-s diagr. data'!$E$5,'T-s diagr. data'!B105-273.15)</f>
        <v>6.866765544441469</v>
      </c>
      <c r="G105" s="1">
        <f>G104+('simple Brayton Cycle'!$D$52-'simple Brayton Cycle'!$D$44)/100</f>
        <v>7.469509679585242</v>
      </c>
      <c r="H105" s="6">
        <f>_XLL.TEMPERATURE('simple Brayton Cycle'!$A$10,"Ps",'T-s diagr. data'!$E$5,'T-s diagr. data'!G105)+273.15</f>
        <v>787.7357102435682</v>
      </c>
      <c r="I105" s="6"/>
      <c r="J105" s="1">
        <f>J104-($J$8-'simple Brayton Cycle'!$D$33)/100</f>
        <v>6.863152580859359</v>
      </c>
      <c r="K105" s="6">
        <f>_XLL.TEMPERATURE('simple Brayton Cycle'!$A$10,"Ps",'T-s diagr. data'!$C$5,'T-s diagr. data'!J105)+273.15</f>
        <v>299.448172754016</v>
      </c>
      <c r="L105" s="6"/>
      <c r="M105">
        <f t="shared" si="14"/>
        <v>3.910389999999992</v>
      </c>
      <c r="N105" s="6">
        <f t="shared" si="10"/>
        <v>6.8418107413291445</v>
      </c>
      <c r="O105" s="1">
        <f>_XLL.TEMPERATURE('simple Brayton Cycle'!$A$10,"Ps",M105,N105)+273.15</f>
        <v>430.49412560476213</v>
      </c>
      <c r="Q105">
        <f t="shared" si="15"/>
        <v>1.1026100000000085</v>
      </c>
      <c r="R105" s="6">
        <f t="shared" si="11"/>
        <v>7.483906877590238</v>
      </c>
      <c r="S105" s="1">
        <f>_XLL.TEMPERATURE('simple Brayton Cycle'!$A$10,"Ps",Q105,R105)+273.15</f>
        <v>564.5160715487401</v>
      </c>
      <c r="U105" s="8">
        <f t="shared" si="12"/>
        <v>6.999134591340425</v>
      </c>
      <c r="V105">
        <f t="shared" si="16"/>
        <v>501.19350328849396</v>
      </c>
      <c r="Z105" s="8">
        <f t="shared" si="17"/>
        <v>7.551126436893295</v>
      </c>
      <c r="AA105">
        <f t="shared" si="18"/>
        <v>595.603911679158</v>
      </c>
    </row>
    <row r="106" spans="2:27" ht="15">
      <c r="B106">
        <f t="shared" si="13"/>
        <v>446</v>
      </c>
      <c r="C106">
        <f>_XLL.ENTROPY('simple Brayton Cycle'!$A$10,"PT",'T-s diagr. data'!$C$5,'T-s diagr. data'!B106-273.15)</f>
        <v>7.265507453826662</v>
      </c>
      <c r="E106">
        <f>_XLL.ENTROPY('simple Brayton Cycle'!$A$10,"PT",'T-s diagr. data'!$E$5,'T-s diagr. data'!B106-273.15)</f>
        <v>6.8713478416070775</v>
      </c>
      <c r="G106" s="1">
        <f>G105+('simple Brayton Cycle'!$D$52-'simple Brayton Cycle'!$D$44)/100</f>
        <v>7.474308745586912</v>
      </c>
      <c r="H106" s="6">
        <f>_XLL.TEMPERATURE('simple Brayton Cycle'!$A$10,"Ps",'T-s diagr. data'!$E$5,'T-s diagr. data'!G106)+273.15</f>
        <v>791.1945663491381</v>
      </c>
      <c r="I106" s="6"/>
      <c r="J106" s="1">
        <f>J105-($J$8-'simple Brayton Cycle'!$D$33)/100</f>
        <v>6.856038634349295</v>
      </c>
      <c r="K106" s="6">
        <f>_XLL.TEMPERATURE('simple Brayton Cycle'!$A$10,"Ps",'T-s diagr. data'!$C$5,'T-s diagr. data'!J106)+273.15</f>
        <v>297.3340680031281</v>
      </c>
      <c r="L106" s="6"/>
      <c r="M106">
        <f t="shared" si="14"/>
        <v>3.940259999999992</v>
      </c>
      <c r="N106" s="6">
        <f t="shared" si="10"/>
        <v>6.8418107413291445</v>
      </c>
      <c r="O106" s="1">
        <f>_XLL.TEMPERATURE('simple Brayton Cycle'!$A$10,"Ps",M106,N106)+273.15</f>
        <v>431.41923660747085</v>
      </c>
      <c r="Q106">
        <f t="shared" si="15"/>
        <v>1.0727400000000085</v>
      </c>
      <c r="R106" s="6">
        <f t="shared" si="11"/>
        <v>7.483906877590238</v>
      </c>
      <c r="S106" s="1">
        <f>_XLL.TEMPERATURE('simple Brayton Cycle'!$A$10,"Ps",Q106,R106)+273.15</f>
        <v>560.2614026123152</v>
      </c>
      <c r="U106" s="8">
        <f t="shared" si="12"/>
        <v>7.000756486701366</v>
      </c>
      <c r="V106">
        <f t="shared" si="16"/>
        <v>503.3382816729114</v>
      </c>
      <c r="Z106" s="8">
        <f t="shared" si="17"/>
        <v>7.551819422040749</v>
      </c>
      <c r="AA106">
        <f t="shared" si="18"/>
        <v>593.5158076758504</v>
      </c>
    </row>
    <row r="107" spans="2:27" ht="15">
      <c r="B107">
        <f t="shared" si="13"/>
        <v>448</v>
      </c>
      <c r="C107">
        <f>_XLL.ENTROPY('simple Brayton Cycle'!$A$10,"PT",'T-s diagr. data'!$C$5,'T-s diagr. data'!B107-273.15)</f>
        <v>7.2700706818153975</v>
      </c>
      <c r="E107">
        <f>_XLL.ENTROPY('simple Brayton Cycle'!$A$10,"PT",'T-s diagr. data'!$E$5,'T-s diagr. data'!B107-273.15)</f>
        <v>6.875911069595814</v>
      </c>
      <c r="G107" s="1">
        <f>G106+('simple Brayton Cycle'!$D$52-'simple Brayton Cycle'!$D$44)/100</f>
        <v>7.479107811588582</v>
      </c>
      <c r="H107" s="6">
        <f>_XLL.TEMPERATURE('simple Brayton Cycle'!$A$10,"Ps",'T-s diagr. data'!$E$5,'T-s diagr. data'!G107)+273.15</f>
        <v>794.6659858381897</v>
      </c>
      <c r="I107" s="6"/>
      <c r="J107" s="1">
        <f>J106-($J$8-'simple Brayton Cycle'!$D$33)/100</f>
        <v>6.84892468783923</v>
      </c>
      <c r="K107" s="6">
        <f>_XLL.TEMPERATURE('simple Brayton Cycle'!$A$10,"Ps",'T-s diagr. data'!$C$5,'T-s diagr. data'!J107)+273.15</f>
        <v>295.2347076024756</v>
      </c>
      <c r="L107" s="6"/>
      <c r="M107">
        <f t="shared" si="14"/>
        <v>3.9701299999999917</v>
      </c>
      <c r="N107" s="6">
        <f t="shared" si="10"/>
        <v>6.8418107413291445</v>
      </c>
      <c r="O107" s="1">
        <f>_XLL.TEMPERATURE('simple Brayton Cycle'!$A$10,"Ps",M107,N107)+273.15</f>
        <v>432.3392004483308</v>
      </c>
      <c r="Q107">
        <f t="shared" si="15"/>
        <v>1.0428700000000084</v>
      </c>
      <c r="R107" s="6">
        <f t="shared" si="11"/>
        <v>7.483906877590238</v>
      </c>
      <c r="S107" s="1">
        <f>_XLL.TEMPERATURE('simple Brayton Cycle'!$A$10,"Ps",Q107,R107)+273.15</f>
        <v>555.9161799444338</v>
      </c>
      <c r="U107" s="8">
        <f t="shared" si="12"/>
        <v>7.002378382062307</v>
      </c>
      <c r="V107">
        <f t="shared" si="16"/>
        <v>505.4830600573289</v>
      </c>
      <c r="Z107" s="8">
        <f t="shared" si="17"/>
        <v>7.552512407188203</v>
      </c>
      <c r="AA107">
        <f t="shared" si="18"/>
        <v>591.4277036725427</v>
      </c>
    </row>
    <row r="108" spans="2:27" ht="15">
      <c r="B108">
        <f t="shared" si="13"/>
        <v>450</v>
      </c>
      <c r="C108">
        <f>_XLL.ENTROPY('simple Brayton Cycle'!$A$10,"PT",'T-s diagr. data'!$C$5,'T-s diagr. data'!B108-273.15)</f>
        <v>7.274615021350614</v>
      </c>
      <c r="E108">
        <f>_XLL.ENTROPY('simple Brayton Cycle'!$A$10,"PT",'T-s diagr. data'!$E$5,'T-s diagr. data'!B108-273.15)</f>
        <v>6.880455409131029</v>
      </c>
      <c r="G108" s="1">
        <f>G107+('simple Brayton Cycle'!$D$52-'simple Brayton Cycle'!$D$44)/100</f>
        <v>7.483906877590252</v>
      </c>
      <c r="H108" s="6">
        <f>_XLL.TEMPERATURE('simple Brayton Cycle'!$A$10,"Ps",'T-s diagr. data'!$E$5,'T-s diagr. data'!G108)+273.15</f>
        <v>798.1500000000555</v>
      </c>
      <c r="I108" s="6"/>
      <c r="J108" s="1">
        <f>J107-($J$8-'simple Brayton Cycle'!$D$33)/100</f>
        <v>6.841810741329166</v>
      </c>
      <c r="K108" s="6">
        <f>_XLL.TEMPERATURE('simple Brayton Cycle'!$A$10,"Ps",'T-s diagr. data'!$C$5,'T-s diagr. data'!J108)+273.15</f>
        <v>293.14999981689925</v>
      </c>
      <c r="L108" s="6"/>
      <c r="M108">
        <f t="shared" si="14"/>
        <v>3.9999999999999916</v>
      </c>
      <c r="N108" s="6">
        <f t="shared" si="10"/>
        <v>6.8418107413291445</v>
      </c>
      <c r="O108" s="1">
        <f>_XLL.TEMPERATURE('simple Brayton Cycle'!$A$10,"Ps",M108,N108)+273.15</f>
        <v>433.2540831794442</v>
      </c>
      <c r="Q108">
        <f t="shared" si="15"/>
        <v>1.0130000000000083</v>
      </c>
      <c r="R108" s="6">
        <f t="shared" si="11"/>
        <v>7.483906877590238</v>
      </c>
      <c r="S108" s="1">
        <f>_XLL.TEMPERATURE('simple Brayton Cycle'!$A$10,"Ps",Q108,R108)+273.15</f>
        <v>551.4758815579864</v>
      </c>
      <c r="U108" s="8">
        <f t="shared" si="12"/>
        <v>7.004000277423248</v>
      </c>
      <c r="V108">
        <f t="shared" si="16"/>
        <v>507.62783844174635</v>
      </c>
      <c r="Z108" s="8">
        <f t="shared" si="17"/>
        <v>7.5532053923356575</v>
      </c>
      <c r="AA108">
        <f t="shared" si="18"/>
        <v>589.3395996692351</v>
      </c>
    </row>
    <row r="109" spans="2:5" ht="15">
      <c r="B109">
        <f t="shared" si="13"/>
        <v>452</v>
      </c>
      <c r="C109">
        <f>_XLL.ENTROPY('simple Brayton Cycle'!$A$10,"PT",'T-s diagr. data'!$C$5,'T-s diagr. data'!B109-273.15)</f>
        <v>7.279140650664724</v>
      </c>
      <c r="E109">
        <f>_XLL.ENTROPY('simple Brayton Cycle'!$A$10,"PT",'T-s diagr. data'!$E$5,'T-s diagr. data'!B109-273.15)</f>
        <v>6.884981038445138</v>
      </c>
    </row>
    <row r="110" spans="2:5" ht="15">
      <c r="B110">
        <f t="shared" si="13"/>
        <v>454</v>
      </c>
      <c r="C110">
        <f>_XLL.ENTROPY('simple Brayton Cycle'!$A$10,"PT",'T-s diagr. data'!$C$5,'T-s diagr. data'!B110-273.15)</f>
        <v>7.283647745543332</v>
      </c>
      <c r="E110">
        <f>_XLL.ENTROPY('simple Brayton Cycle'!$A$10,"PT",'T-s diagr. data'!$E$5,'T-s diagr. data'!B110-273.15)</f>
        <v>6.889488133323747</v>
      </c>
    </row>
    <row r="111" spans="2:5" ht="15">
      <c r="B111">
        <f t="shared" si="13"/>
        <v>456</v>
      </c>
      <c r="C111">
        <f>_XLL.ENTROPY('simple Brayton Cycle'!$A$10,"PT",'T-s diagr. data'!$C$5,'T-s diagr. data'!B111-273.15)</f>
        <v>7.288136479368392</v>
      </c>
      <c r="E111">
        <f>_XLL.ENTROPY('simple Brayton Cycle'!$A$10,"PT",'T-s diagr. data'!$E$5,'T-s diagr. data'!B111-273.15)</f>
        <v>6.893976867148807</v>
      </c>
    </row>
    <row r="112" spans="2:5" ht="15">
      <c r="B112">
        <f t="shared" si="13"/>
        <v>458</v>
      </c>
      <c r="C112">
        <f>_XLL.ENTROPY('simple Brayton Cycle'!$A$10,"PT",'T-s diagr. data'!$C$5,'T-s diagr. data'!B112-273.15)</f>
        <v>7.292607023160412</v>
      </c>
      <c r="E112">
        <f>_XLL.ENTROPY('simple Brayton Cycle'!$A$10,"PT",'T-s diagr. data'!$E$5,'T-s diagr. data'!B112-273.15)</f>
        <v>6.898447410940829</v>
      </c>
    </row>
    <row r="113" spans="2:5" ht="15">
      <c r="B113">
        <f t="shared" si="13"/>
        <v>460</v>
      </c>
      <c r="C113">
        <f>_XLL.ENTROPY('simple Brayton Cycle'!$A$10,"PT",'T-s diagr. data'!$C$5,'T-s diagr. data'!B113-273.15)</f>
        <v>7.297059545619753</v>
      </c>
      <c r="E113">
        <f>_XLL.ENTROPY('simple Brayton Cycle'!$A$10,"PT",'T-s diagr. data'!$E$5,'T-s diagr. data'!B113-273.15)</f>
        <v>6.90289993340017</v>
      </c>
    </row>
    <row r="114" spans="2:5" ht="15">
      <c r="B114">
        <f t="shared" si="13"/>
        <v>462</v>
      </c>
      <c r="C114">
        <f>_XLL.ENTROPY('simple Brayton Cycle'!$A$10,"PT",'T-s diagr. data'!$C$5,'T-s diagr. data'!B114-273.15)</f>
        <v>7.301494213167013</v>
      </c>
      <c r="E114">
        <f>_XLL.ENTROPY('simple Brayton Cycle'!$A$10,"PT",'T-s diagr. data'!$E$5,'T-s diagr. data'!B114-273.15)</f>
        <v>6.907334600947428</v>
      </c>
    </row>
    <row r="115" spans="2:5" ht="15">
      <c r="B115">
        <f t="shared" si="13"/>
        <v>464</v>
      </c>
      <c r="C115">
        <f>_XLL.ENTROPY('simple Brayton Cycle'!$A$10,"PT",'T-s diagr. data'!$C$5,'T-s diagr. data'!B115-273.15)</f>
        <v>7.305911189982562</v>
      </c>
      <c r="E115">
        <f>_XLL.ENTROPY('simple Brayton Cycle'!$A$10,"PT",'T-s diagr. data'!$E$5,'T-s diagr. data'!B115-273.15)</f>
        <v>6.911751577762978</v>
      </c>
    </row>
    <row r="116" spans="2:5" ht="15">
      <c r="B116">
        <f t="shared" si="13"/>
        <v>466</v>
      </c>
      <c r="C116">
        <f>_XLL.ENTROPY('simple Brayton Cycle'!$A$10,"PT",'T-s diagr. data'!$C$5,'T-s diagr. data'!B116-273.15)</f>
        <v>7.310310638045207</v>
      </c>
      <c r="E116">
        <f>_XLL.ENTROPY('simple Brayton Cycle'!$A$10,"PT",'T-s diagr. data'!$E$5,'T-s diagr. data'!B116-273.15)</f>
        <v>6.916151025825622</v>
      </c>
    </row>
    <row r="117" spans="2:5" ht="15">
      <c r="B117">
        <f t="shared" si="13"/>
        <v>468</v>
      </c>
      <c r="C117">
        <f>_XLL.ENTROPY('simple Brayton Cycle'!$A$10,"PT",'T-s diagr. data'!$C$5,'T-s diagr. data'!B117-273.15)</f>
        <v>7.31469271717004</v>
      </c>
      <c r="E117">
        <f>_XLL.ENTROPY('simple Brayton Cycle'!$A$10,"PT",'T-s diagr. data'!$E$5,'T-s diagr. data'!B117-273.15)</f>
        <v>6.920533104950457</v>
      </c>
    </row>
    <row r="118" spans="2:5" ht="15">
      <c r="B118">
        <f t="shared" si="13"/>
        <v>470</v>
      </c>
      <c r="C118">
        <f>_XLL.ENTROPY('simple Brayton Cycle'!$A$10,"PT",'T-s diagr. data'!$C$5,'T-s diagr. data'!B118-273.15)</f>
        <v>7.319057585045477</v>
      </c>
      <c r="E118">
        <f>_XLL.ENTROPY('simple Brayton Cycle'!$A$10,"PT",'T-s diagr. data'!$E$5,'T-s diagr. data'!B118-273.15)</f>
        <v>6.9248979728258915</v>
      </c>
    </row>
    <row r="119" spans="2:5" ht="15">
      <c r="B119">
        <f t="shared" si="13"/>
        <v>472</v>
      </c>
      <c r="C119">
        <f>_XLL.ENTROPY('simple Brayton Cycle'!$A$10,"PT",'T-s diagr. data'!$C$5,'T-s diagr. data'!B119-273.15)</f>
        <v>7.323405397269507</v>
      </c>
      <c r="E119">
        <f>_XLL.ENTROPY('simple Brayton Cycle'!$A$10,"PT",'T-s diagr. data'!$E$5,'T-s diagr. data'!B119-273.15)</f>
        <v>6.929245785049921</v>
      </c>
    </row>
    <row r="120" spans="2:5" ht="15">
      <c r="B120">
        <f t="shared" si="13"/>
        <v>474</v>
      </c>
      <c r="C120">
        <f>_XLL.ENTROPY('simple Brayton Cycle'!$A$10,"PT",'T-s diagr. data'!$C$5,'T-s diagr. data'!B120-273.15)</f>
        <v>7.3277363073851784</v>
      </c>
      <c r="E120">
        <f>_XLL.ENTROPY('simple Brayton Cycle'!$A$10,"PT",'T-s diagr. data'!$E$5,'T-s diagr. data'!B120-273.15)</f>
        <v>6.933576695165593</v>
      </c>
    </row>
    <row r="121" spans="2:5" ht="15">
      <c r="B121">
        <f t="shared" si="13"/>
        <v>476</v>
      </c>
      <c r="C121">
        <f>_XLL.ENTROPY('simple Brayton Cycle'!$A$10,"PT",'T-s diagr. data'!$C$5,'T-s diagr. data'!B121-273.15)</f>
        <v>7.332050466915337</v>
      </c>
      <c r="E121">
        <f>_XLL.ENTROPY('simple Brayton Cycle'!$A$10,"PT",'T-s diagr. data'!$E$5,'T-s diagr. data'!B121-273.15)</f>
        <v>6.937890854695752</v>
      </c>
    </row>
    <row r="122" spans="2:5" ht="15">
      <c r="B122">
        <f t="shared" si="13"/>
        <v>478</v>
      </c>
      <c r="C122">
        <f>_XLL.ENTROPY('simple Brayton Cycle'!$A$10,"PT",'T-s diagr. data'!$C$5,'T-s diagr. data'!B122-273.15)</f>
        <v>7.336348025396638</v>
      </c>
      <c r="E122">
        <f>_XLL.ENTROPY('simple Brayton Cycle'!$A$10,"PT",'T-s diagr. data'!$E$5,'T-s diagr. data'!B122-273.15)</f>
        <v>6.942188413177055</v>
      </c>
    </row>
    <row r="123" spans="2:5" ht="15">
      <c r="B123">
        <f t="shared" si="13"/>
        <v>480</v>
      </c>
      <c r="C123">
        <f>_XLL.ENTROPY('simple Brayton Cycle'!$A$10,"PT",'T-s diagr. data'!$C$5,'T-s diagr. data'!B123-273.15)</f>
        <v>7.340629130412842</v>
      </c>
      <c r="E123">
        <f>_XLL.ENTROPY('simple Brayton Cycle'!$A$10,"PT",'T-s diagr. data'!$E$5,'T-s diagr. data'!B123-273.15)</f>
        <v>6.9464695181932585</v>
      </c>
    </row>
    <row r="124" spans="2:5" ht="15">
      <c r="B124">
        <f t="shared" si="13"/>
        <v>482</v>
      </c>
      <c r="C124">
        <f>_XLL.ENTROPY('simple Brayton Cycle'!$A$10,"PT",'T-s diagr. data'!$C$5,'T-s diagr. data'!B124-273.15)</f>
        <v>7.344893927627423</v>
      </c>
      <c r="E124">
        <f>_XLL.ENTROPY('simple Brayton Cycle'!$A$10,"PT",'T-s diagr. data'!$E$5,'T-s diagr. data'!B124-273.15)</f>
        <v>6.950734315407839</v>
      </c>
    </row>
    <row r="125" spans="2:5" ht="15">
      <c r="B125">
        <f t="shared" si="13"/>
        <v>484</v>
      </c>
      <c r="C125">
        <f>_XLL.ENTROPY('simple Brayton Cycle'!$A$10,"PT",'T-s diagr. data'!$C$5,'T-s diagr. data'!B125-273.15)</f>
        <v>7.349142560815509</v>
      </c>
      <c r="E125">
        <f>_XLL.ENTROPY('simple Brayton Cycle'!$A$10,"PT",'T-s diagr. data'!$E$5,'T-s diagr. data'!B125-273.15)</f>
        <v>6.954982948595926</v>
      </c>
    </row>
    <row r="126" spans="2:5" ht="15">
      <c r="B126">
        <f t="shared" si="13"/>
        <v>486</v>
      </c>
      <c r="C126">
        <f>_XLL.ENTROPY('simple Brayton Cycle'!$A$10,"PT",'T-s diagr. data'!$C$5,'T-s diagr. data'!B126-273.15)</f>
        <v>7.35337517189514</v>
      </c>
      <c r="E126">
        <f>_XLL.ENTROPY('simple Brayton Cycle'!$A$10,"PT",'T-s diagr. data'!$E$5,'T-s diagr. data'!B126-273.15)</f>
        <v>6.959215559675554</v>
      </c>
    </row>
    <row r="127" spans="2:5" ht="15">
      <c r="B127">
        <f t="shared" si="13"/>
        <v>488</v>
      </c>
      <c r="C127">
        <f>_XLL.ENTROPY('simple Brayton Cycle'!$A$10,"PT",'T-s diagr. data'!$C$5,'T-s diagr. data'!B127-273.15)</f>
        <v>7.357591900957913</v>
      </c>
      <c r="E127">
        <f>_XLL.ENTROPY('simple Brayton Cycle'!$A$10,"PT",'T-s diagr. data'!$E$5,'T-s diagr. data'!B127-273.15)</f>
        <v>6.963432288738328</v>
      </c>
    </row>
    <row r="128" spans="2:5" ht="15">
      <c r="B128">
        <f t="shared" si="13"/>
        <v>490</v>
      </c>
      <c r="C128">
        <f>_XLL.ENTROPY('simple Brayton Cycle'!$A$10,"PT",'T-s diagr. data'!$C$5,'T-s diagr. data'!B128-273.15)</f>
        <v>7.361792886298985</v>
      </c>
      <c r="E128">
        <f>_XLL.ENTROPY('simple Brayton Cycle'!$A$10,"PT",'T-s diagr. data'!$E$5,'T-s diagr. data'!B128-273.15)</f>
        <v>6.9676332740794</v>
      </c>
    </row>
    <row r="129" spans="2:5" ht="15">
      <c r="B129">
        <f t="shared" si="13"/>
        <v>492</v>
      </c>
      <c r="C129">
        <f>_XLL.ENTROPY('simple Brayton Cycle'!$A$10,"PT",'T-s diagr. data'!$C$5,'T-s diagr. data'!B129-273.15)</f>
        <v>7.365978264446465</v>
      </c>
      <c r="E129">
        <f>_XLL.ENTROPY('simple Brayton Cycle'!$A$10,"PT",'T-s diagr. data'!$E$5,'T-s diagr. data'!B129-273.15)</f>
        <v>6.971818652226881</v>
      </c>
    </row>
    <row r="130" spans="2:5" ht="15">
      <c r="B130">
        <f t="shared" si="13"/>
        <v>494</v>
      </c>
      <c r="C130">
        <f>_XLL.ENTROPY('simple Brayton Cycle'!$A$10,"PT",'T-s diagr. data'!$C$5,'T-s diagr. data'!B130-273.15)</f>
        <v>7.3701481701902125</v>
      </c>
      <c r="E130">
        <f>_XLL.ENTROPY('simple Brayton Cycle'!$A$10,"PT",'T-s diagr. data'!$E$5,'T-s diagr. data'!B130-273.15)</f>
        <v>6.975988557970627</v>
      </c>
    </row>
    <row r="131" spans="2:5" ht="15">
      <c r="B131">
        <f t="shared" si="13"/>
        <v>496</v>
      </c>
      <c r="C131">
        <f>_XLL.ENTROPY('simple Brayton Cycle'!$A$10,"PT",'T-s diagr. data'!$C$5,'T-s diagr. data'!B131-273.15)</f>
        <v>7.37430273661005</v>
      </c>
      <c r="E131">
        <f>_XLL.ENTROPY('simple Brayton Cycle'!$A$10,"PT",'T-s diagr. data'!$E$5,'T-s diagr. data'!B131-273.15)</f>
        <v>6.980143124390467</v>
      </c>
    </row>
    <row r="132" spans="2:5" ht="15">
      <c r="B132">
        <f t="shared" si="13"/>
        <v>498</v>
      </c>
      <c r="C132">
        <f>_XLL.ENTROPY('simple Brayton Cycle'!$A$10,"PT",'T-s diagr. data'!$C$5,'T-s diagr. data'!B132-273.15)</f>
        <v>7.3784420951034235</v>
      </c>
      <c r="E132">
        <f>_XLL.ENTROPY('simple Brayton Cycle'!$A$10,"PT",'T-s diagr. data'!$E$5,'T-s diagr. data'!B132-273.15)</f>
        <v>6.984282482883838</v>
      </c>
    </row>
    <row r="133" spans="2:5" ht="15">
      <c r="B133">
        <f t="shared" si="13"/>
        <v>500</v>
      </c>
      <c r="C133">
        <f>_XLL.ENTROPY('simple Brayton Cycle'!$A$10,"PT",'T-s diagr. data'!$C$5,'T-s diagr. data'!B133-273.15)</f>
        <v>7.382566375412483</v>
      </c>
      <c r="E133">
        <f>_XLL.ENTROPY('simple Brayton Cycle'!$A$10,"PT",'T-s diagr. data'!$E$5,'T-s diagr. data'!B133-273.15)</f>
        <v>6.988406763192898</v>
      </c>
    </row>
    <row r="134" spans="2:5" ht="15">
      <c r="B134">
        <f t="shared" si="13"/>
        <v>502</v>
      </c>
      <c r="C134">
        <f>_XLL.ENTROPY('simple Brayton Cycle'!$A$10,"PT",'T-s diagr. data'!$C$5,'T-s diagr. data'!B134-273.15)</f>
        <v>7.386675705650642</v>
      </c>
      <c r="E134">
        <f>_XLL.ENTROPY('simple Brayton Cycle'!$A$10,"PT",'T-s diagr. data'!$E$5,'T-s diagr. data'!B134-273.15)</f>
        <v>6.992516093431059</v>
      </c>
    </row>
    <row r="135" spans="2:5" ht="15">
      <c r="B135">
        <f t="shared" si="13"/>
        <v>504</v>
      </c>
      <c r="C135">
        <f>_XLL.ENTROPY('simple Brayton Cycle'!$A$10,"PT",'T-s diagr. data'!$C$5,'T-s diagr. data'!B135-273.15)</f>
        <v>7.39077021232861</v>
      </c>
      <c r="E135">
        <f>_XLL.ENTROPY('simple Brayton Cycle'!$A$10,"PT",'T-s diagr. data'!$E$5,'T-s diagr. data'!B135-273.15)</f>
        <v>6.996610600109028</v>
      </c>
    </row>
    <row r="136" spans="2:5" ht="15">
      <c r="B136">
        <f t="shared" si="13"/>
        <v>506</v>
      </c>
      <c r="C136">
        <f>_XLL.ENTROPY('simple Brayton Cycle'!$A$10,"PT",'T-s diagr. data'!$C$5,'T-s diagr. data'!B136-273.15)</f>
        <v>7.394850020379887</v>
      </c>
      <c r="E136">
        <f>_XLL.ENTROPY('simple Brayton Cycle'!$A$10,"PT",'T-s diagr. data'!$E$5,'T-s diagr. data'!B136-273.15)</f>
        <v>7.0006904081603025</v>
      </c>
    </row>
    <row r="137" spans="2:5" ht="15">
      <c r="B137">
        <f t="shared" si="13"/>
        <v>508</v>
      </c>
      <c r="C137">
        <f>_XLL.ENTROPY('simple Brayton Cycle'!$A$10,"PT",'T-s diagr. data'!$C$5,'T-s diagr. data'!B137-273.15)</f>
        <v>7.398915253185784</v>
      </c>
      <c r="E137">
        <f>_XLL.ENTROPY('simple Brayton Cycle'!$A$10,"PT",'T-s diagr. data'!$E$5,'T-s diagr. data'!B137-273.15)</f>
        <v>7.0047556409662</v>
      </c>
    </row>
    <row r="138" spans="2:5" ht="15">
      <c r="B138">
        <f aca="true" t="shared" si="19" ref="B138:B201">B137+2</f>
        <v>510</v>
      </c>
      <c r="C138">
        <f>_XLL.ENTROPY('simple Brayton Cycle'!$A$10,"PT",'T-s diagr. data'!$C$5,'T-s diagr. data'!B138-273.15)</f>
        <v>7.402966032599938</v>
      </c>
      <c r="E138">
        <f>_XLL.ENTROPY('simple Brayton Cycle'!$A$10,"PT",'T-s diagr. data'!$E$5,'T-s diagr. data'!B138-273.15)</f>
        <v>7.008806420380354</v>
      </c>
    </row>
    <row r="139" spans="2:5" ht="15">
      <c r="B139">
        <f t="shared" si="19"/>
        <v>512</v>
      </c>
      <c r="C139">
        <f>_XLL.ENTROPY('simple Brayton Cycle'!$A$10,"PT",'T-s diagr. data'!$C$5,'T-s diagr. data'!B139-273.15)</f>
        <v>7.407002478972341</v>
      </c>
      <c r="E139">
        <f>_XLL.ENTROPY('simple Brayton Cycle'!$A$10,"PT",'T-s diagr. data'!$E$5,'T-s diagr. data'!B139-273.15)</f>
        <v>7.012842866752758</v>
      </c>
    </row>
    <row r="140" spans="2:5" ht="15">
      <c r="B140">
        <f t="shared" si="19"/>
        <v>514</v>
      </c>
      <c r="C140">
        <f>_XLL.ENTROPY('simple Brayton Cycle'!$A$10,"PT",'T-s diagr. data'!$C$5,'T-s diagr. data'!B140-273.15)</f>
        <v>7.411024711172912</v>
      </c>
      <c r="E140">
        <f>_XLL.ENTROPY('simple Brayton Cycle'!$A$10,"PT",'T-s diagr. data'!$E$5,'T-s diagr. data'!B140-273.15)</f>
        <v>7.016865098953329</v>
      </c>
    </row>
    <row r="141" spans="2:5" ht="15">
      <c r="B141">
        <f t="shared" si="19"/>
        <v>516</v>
      </c>
      <c r="C141">
        <f>_XLL.ENTROPY('simple Brayton Cycle'!$A$10,"PT",'T-s diagr. data'!$C$5,'T-s diagr. data'!B141-273.15)</f>
        <v>7.415032846614608</v>
      </c>
      <c r="E141">
        <f>_XLL.ENTROPY('simple Brayton Cycle'!$A$10,"PT",'T-s diagr. data'!$E$5,'T-s diagr. data'!B141-273.15)</f>
        <v>7.020873234395022</v>
      </c>
    </row>
    <row r="142" spans="2:5" ht="15">
      <c r="B142">
        <f t="shared" si="19"/>
        <v>518</v>
      </c>
      <c r="C142">
        <f>_XLL.ENTROPY('simple Brayton Cycle'!$A$10,"PT",'T-s diagr. data'!$C$5,'T-s diagr. data'!B142-273.15)</f>
        <v>7.419027001276081</v>
      </c>
      <c r="E142">
        <f>_XLL.ENTROPY('simple Brayton Cycle'!$A$10,"PT",'T-s diagr. data'!$E$5,'T-s diagr. data'!B142-273.15)</f>
        <v>7.024867389056495</v>
      </c>
    </row>
    <row r="143" spans="2:5" ht="15">
      <c r="B143">
        <f t="shared" si="19"/>
        <v>520</v>
      </c>
      <c r="C143">
        <f>_XLL.ENTROPY('simple Brayton Cycle'!$A$10,"PT",'T-s diagr. data'!$C$5,'T-s diagr. data'!B143-273.15)</f>
        <v>7.423007289723915</v>
      </c>
      <c r="E143">
        <f>_XLL.ENTROPY('simple Brayton Cycle'!$A$10,"PT",'T-s diagr. data'!$E$5,'T-s diagr. data'!B143-273.15)</f>
        <v>7.028847677504331</v>
      </c>
    </row>
    <row r="144" spans="2:5" ht="15">
      <c r="B144">
        <f t="shared" si="19"/>
        <v>522</v>
      </c>
      <c r="C144">
        <f>_XLL.ENTROPY('simple Brayton Cycle'!$A$10,"PT",'T-s diagr. data'!$C$5,'T-s diagr. data'!B144-273.15)</f>
        <v>7.426973825134415</v>
      </c>
      <c r="E144">
        <f>_XLL.ENTROPY('simple Brayton Cycle'!$A$10,"PT",'T-s diagr. data'!$E$5,'T-s diagr. data'!B144-273.15)</f>
        <v>7.032814212914832</v>
      </c>
    </row>
    <row r="145" spans="2:5" ht="15">
      <c r="B145">
        <f t="shared" si="19"/>
        <v>524</v>
      </c>
      <c r="C145">
        <f>_XLL.ENTROPY('simple Brayton Cycle'!$A$10,"PT",'T-s diagr. data'!$C$5,'T-s diagr. data'!B145-273.15)</f>
        <v>7.4309267193149955</v>
      </c>
      <c r="E145">
        <f>_XLL.ENTROPY('simple Brayton Cycle'!$A$10,"PT",'T-s diagr. data'!$E$5,'T-s diagr. data'!B145-273.15)</f>
        <v>7.036767107095412</v>
      </c>
    </row>
    <row r="146" spans="2:5" ht="15">
      <c r="B146">
        <f t="shared" si="19"/>
        <v>526</v>
      </c>
      <c r="C146">
        <f>_XLL.ENTROPY('simple Brayton Cycle'!$A$10,"PT",'T-s diagr. data'!$C$5,'T-s diagr. data'!B146-273.15)</f>
        <v>7.434866082725155</v>
      </c>
      <c r="E146">
        <f>_XLL.ENTROPY('simple Brayton Cycle'!$A$10,"PT",'T-s diagr. data'!$E$5,'T-s diagr. data'!B146-273.15)</f>
        <v>7.040706470505571</v>
      </c>
    </row>
    <row r="147" spans="2:5" ht="15">
      <c r="B147">
        <f t="shared" si="19"/>
        <v>528</v>
      </c>
      <c r="C147">
        <f>_XLL.ENTROPY('simple Brayton Cycle'!$A$10,"PT",'T-s diagr. data'!$C$5,'T-s diagr. data'!B147-273.15)</f>
        <v>7.438792024497054</v>
      </c>
      <c r="E147">
        <f>_XLL.ENTROPY('simple Brayton Cycle'!$A$10,"PT",'T-s diagr. data'!$E$5,'T-s diagr. data'!B147-273.15)</f>
        <v>7.044632412277469</v>
      </c>
    </row>
    <row r="148" spans="2:5" ht="15">
      <c r="B148">
        <f t="shared" si="19"/>
        <v>530</v>
      </c>
      <c r="C148">
        <f>_XLL.ENTROPY('simple Brayton Cycle'!$A$10,"PT",'T-s diagr. data'!$C$5,'T-s diagr. data'!B148-273.15)</f>
        <v>7.442704652455698</v>
      </c>
      <c r="E148">
        <f>_XLL.ENTROPY('simple Brayton Cycle'!$A$10,"PT",'T-s diagr. data'!$E$5,'T-s diagr. data'!B148-273.15)</f>
        <v>7.048545040236115</v>
      </c>
    </row>
    <row r="149" spans="2:5" ht="15">
      <c r="B149">
        <f t="shared" si="19"/>
        <v>532</v>
      </c>
      <c r="C149">
        <f>_XLL.ENTROPY('simple Brayton Cycle'!$A$10,"PT",'T-s diagr. data'!$C$5,'T-s diagr. data'!B149-273.15)</f>
        <v>7.44660407313876</v>
      </c>
      <c r="E149">
        <f>_XLL.ENTROPY('simple Brayton Cycle'!$A$10,"PT",'T-s diagr. data'!$E$5,'T-s diagr. data'!B149-273.15)</f>
        <v>7.052444460919175</v>
      </c>
    </row>
    <row r="150" spans="2:5" ht="15">
      <c r="B150">
        <f t="shared" si="19"/>
        <v>534</v>
      </c>
      <c r="C150">
        <f>_XLL.ENTROPY('simple Brayton Cycle'!$A$10,"PT",'T-s diagr. data'!$C$5,'T-s diagr. data'!B150-273.15)</f>
        <v>7.450490391815996</v>
      </c>
      <c r="E150">
        <f>_XLL.ENTROPY('simple Brayton Cycle'!$A$10,"PT",'T-s diagr. data'!$E$5,'T-s diagr. data'!B150-273.15)</f>
        <v>7.056330779596411</v>
      </c>
    </row>
    <row r="151" spans="2:5" ht="15">
      <c r="B151">
        <f t="shared" si="19"/>
        <v>536</v>
      </c>
      <c r="C151">
        <f>_XLL.ENTROPY('simple Brayton Cycle'!$A$10,"PT",'T-s diagr. data'!$C$5,'T-s diagr. data'!B151-273.15)</f>
        <v>7.454363712508339</v>
      </c>
      <c r="E151">
        <f>_XLL.ENTROPY('simple Brayton Cycle'!$A$10,"PT",'T-s diagr. data'!$E$5,'T-s diagr. data'!B151-273.15)</f>
        <v>7.060204100288754</v>
      </c>
    </row>
    <row r="152" spans="2:5" ht="15">
      <c r="B152">
        <f t="shared" si="19"/>
        <v>538</v>
      </c>
      <c r="C152">
        <f>_XLL.ENTROPY('simple Brayton Cycle'!$A$10,"PT",'T-s diagr. data'!$C$5,'T-s diagr. data'!B152-273.15)</f>
        <v>7.4582241380066066</v>
      </c>
      <c r="E152">
        <f>_XLL.ENTROPY('simple Brayton Cycle'!$A$10,"PT",'T-s diagr. data'!$E$5,'T-s diagr. data'!B152-273.15)</f>
        <v>7.064064525787022</v>
      </c>
    </row>
    <row r="153" spans="2:5" ht="15">
      <c r="B153">
        <f t="shared" si="19"/>
        <v>540</v>
      </c>
      <c r="C153">
        <f>_XLL.ENTROPY('simple Brayton Cycle'!$A$10,"PT",'T-s diagr. data'!$C$5,'T-s diagr. data'!B153-273.15)</f>
        <v>7.462071769889873</v>
      </c>
      <c r="E153">
        <f>_XLL.ENTROPY('simple Brayton Cycle'!$A$10,"PT",'T-s diagr. data'!$E$5,'T-s diagr. data'!B153-273.15)</f>
        <v>7.067912157670287</v>
      </c>
    </row>
    <row r="154" spans="2:5" ht="15">
      <c r="B154">
        <f t="shared" si="19"/>
        <v>542</v>
      </c>
      <c r="C154">
        <f>_XLL.ENTROPY('simple Brayton Cycle'!$A$10,"PT",'T-s diagr. data'!$C$5,'T-s diagr. data'!B154-273.15)</f>
        <v>7.465906708543496</v>
      </c>
      <c r="E154">
        <f>_XLL.ENTROPY('simple Brayton Cycle'!$A$10,"PT",'T-s diagr. data'!$E$5,'T-s diagr. data'!B154-273.15)</f>
        <v>7.071747096323912</v>
      </c>
    </row>
    <row r="155" spans="2:5" ht="15">
      <c r="B155">
        <f t="shared" si="19"/>
        <v>544</v>
      </c>
      <c r="C155">
        <f>_XLL.ENTROPY('simple Brayton Cycle'!$A$10,"PT",'T-s diagr. data'!$C$5,'T-s diagr. data'!B155-273.15)</f>
        <v>7.469729053176832</v>
      </c>
      <c r="E155">
        <f>_XLL.ENTROPY('simple Brayton Cycle'!$A$10,"PT",'T-s diagr. data'!$E$5,'T-s diagr. data'!B155-273.15)</f>
        <v>7.075569440957249</v>
      </c>
    </row>
    <row r="156" spans="2:5" ht="15">
      <c r="B156">
        <f t="shared" si="19"/>
        <v>546</v>
      </c>
      <c r="C156">
        <f>_XLL.ENTROPY('simple Brayton Cycle'!$A$10,"PT",'T-s diagr. data'!$C$5,'T-s diagr. data'!B156-273.15)</f>
        <v>7.473538901840593</v>
      </c>
      <c r="E156">
        <f>_XLL.ENTROPY('simple Brayton Cycle'!$A$10,"PT",'T-s diagr. data'!$E$5,'T-s diagr. data'!B156-273.15)</f>
        <v>7.07937928962101</v>
      </c>
    </row>
    <row r="157" spans="2:5" ht="15">
      <c r="B157">
        <f t="shared" si="19"/>
        <v>548</v>
      </c>
      <c r="C157">
        <f>_XLL.ENTROPY('simple Brayton Cycle'!$A$10,"PT",'T-s diagr. data'!$C$5,'T-s diagr. data'!B157-273.15)</f>
        <v>7.477336351443911</v>
      </c>
      <c r="E157">
        <f>_XLL.ENTROPY('simple Brayton Cycle'!$A$10,"PT",'T-s diagr. data'!$E$5,'T-s diagr. data'!B157-273.15)</f>
        <v>7.083176739224325</v>
      </c>
    </row>
    <row r="158" spans="2:5" ht="15">
      <c r="B158">
        <f t="shared" si="19"/>
        <v>550</v>
      </c>
      <c r="C158">
        <f>_XLL.ENTROPY('simple Brayton Cycle'!$A$10,"PT",'T-s diagr. data'!$C$5,'T-s diagr. data'!B158-273.15)</f>
        <v>7.481121497771079</v>
      </c>
      <c r="E158">
        <f>_XLL.ENTROPY('simple Brayton Cycle'!$A$10,"PT",'T-s diagr. data'!$E$5,'T-s diagr. data'!B158-273.15)</f>
        <v>7.086961885551497</v>
      </c>
    </row>
    <row r="159" spans="2:5" ht="15">
      <c r="B159">
        <f t="shared" si="19"/>
        <v>552</v>
      </c>
      <c r="C159">
        <f>_XLL.ENTROPY('simple Brayton Cycle'!$A$10,"PT",'T-s diagr. data'!$C$5,'T-s diagr. data'!B159-273.15)</f>
        <v>7.4848944354980125</v>
      </c>
      <c r="E159">
        <f>_XLL.ENTROPY('simple Brayton Cycle'!$A$10,"PT",'T-s diagr. data'!$E$5,'T-s diagr. data'!B159-273.15)</f>
        <v>7.090734823278429</v>
      </c>
    </row>
    <row r="160" spans="2:5" ht="15">
      <c r="B160">
        <f t="shared" si="19"/>
        <v>554</v>
      </c>
      <c r="C160">
        <f>_XLL.ENTROPY('simple Brayton Cycle'!$A$10,"PT",'T-s diagr. data'!$C$5,'T-s diagr. data'!B160-273.15)</f>
        <v>7.488655258208362</v>
      </c>
      <c r="E160">
        <f>_XLL.ENTROPY('simple Brayton Cycle'!$A$10,"PT",'T-s diagr. data'!$E$5,'T-s diagr. data'!B160-273.15)</f>
        <v>7.094495645988777</v>
      </c>
    </row>
    <row r="161" spans="2:5" ht="15">
      <c r="B161">
        <f t="shared" si="19"/>
        <v>556</v>
      </c>
      <c r="C161">
        <f>_XLL.ENTROPY('simple Brayton Cycle'!$A$10,"PT",'T-s diagr. data'!$C$5,'T-s diagr. data'!B161-273.15)</f>
        <v>7.492404058409394</v>
      </c>
      <c r="E161">
        <f>_XLL.ENTROPY('simple Brayton Cycle'!$A$10,"PT",'T-s diagr. data'!$E$5,'T-s diagr. data'!B161-273.15)</f>
        <v>7.0982444461898115</v>
      </c>
    </row>
    <row r="162" spans="2:5" ht="15">
      <c r="B162">
        <f t="shared" si="19"/>
        <v>558</v>
      </c>
      <c r="C162">
        <f>_XLL.ENTROPY('simple Brayton Cycle'!$A$10,"PT",'T-s diagr. data'!$C$5,'T-s diagr. data'!B162-273.15)</f>
        <v>7.496140927547555</v>
      </c>
      <c r="E162">
        <f>_XLL.ENTROPY('simple Brayton Cycle'!$A$10,"PT",'T-s diagr. data'!$E$5,'T-s diagr. data'!B162-273.15)</f>
        <v>7.101981315327969</v>
      </c>
    </row>
    <row r="163" spans="2:5" ht="15">
      <c r="B163">
        <f t="shared" si="19"/>
        <v>560</v>
      </c>
      <c r="C163">
        <f>_XLL.ENTROPY('simple Brayton Cycle'!$A$10,"PT",'T-s diagr. data'!$C$5,'T-s diagr. data'!B163-273.15)</f>
        <v>7.499865956023745</v>
      </c>
      <c r="E163">
        <f>_XLL.ENTROPY('simple Brayton Cycle'!$A$10,"PT",'T-s diagr. data'!$E$5,'T-s diagr. data'!B163-273.15)</f>
        <v>7.105706343804162</v>
      </c>
    </row>
    <row r="164" spans="2:5" ht="15">
      <c r="B164">
        <f t="shared" si="19"/>
        <v>562</v>
      </c>
      <c r="C164">
        <f>_XLL.ENTROPY('simple Brayton Cycle'!$A$10,"PT",'T-s diagr. data'!$C$5,'T-s diagr. data'!B164-273.15)</f>
        <v>7.503579233208365</v>
      </c>
      <c r="E164">
        <f>_XLL.ENTROPY('simple Brayton Cycle'!$A$10,"PT",'T-s diagr. data'!$E$5,'T-s diagr. data'!B164-273.15)</f>
        <v>7.109419620988779</v>
      </c>
    </row>
    <row r="165" spans="2:5" ht="15">
      <c r="B165">
        <f t="shared" si="19"/>
        <v>564</v>
      </c>
      <c r="C165">
        <f>_XLL.ENTROPY('simple Brayton Cycle'!$A$10,"PT",'T-s diagr. data'!$C$5,'T-s diagr. data'!B165-273.15)</f>
        <v>7.507280847456042</v>
      </c>
      <c r="E165">
        <f>_XLL.ENTROPY('simple Brayton Cycle'!$A$10,"PT",'T-s diagr. data'!$E$5,'T-s diagr. data'!B165-273.15)</f>
        <v>7.113121235236458</v>
      </c>
    </row>
    <row r="166" spans="2:5" ht="15">
      <c r="B166">
        <f t="shared" si="19"/>
        <v>566</v>
      </c>
      <c r="C166">
        <f>_XLL.ENTROPY('simple Brayton Cycle'!$A$10,"PT",'T-s diagr. data'!$C$5,'T-s diagr. data'!B166-273.15)</f>
        <v>7.510970886120133</v>
      </c>
      <c r="E166">
        <f>_XLL.ENTROPY('simple Brayton Cycle'!$A$10,"PT",'T-s diagr. data'!$E$5,'T-s diagr. data'!B166-273.15)</f>
        <v>7.1168112739005505</v>
      </c>
    </row>
    <row r="167" spans="2:5" ht="15">
      <c r="B167">
        <f t="shared" si="19"/>
        <v>568</v>
      </c>
      <c r="C167">
        <f>_XLL.ENTROPY('simple Brayton Cycle'!$A$10,"PT",'T-s diagr. data'!$C$5,'T-s diagr. data'!B167-273.15)</f>
        <v>7.514649435566963</v>
      </c>
      <c r="E167">
        <f>_XLL.ENTROPY('simple Brayton Cycle'!$A$10,"PT",'T-s diagr. data'!$E$5,'T-s diagr. data'!B167-273.15)</f>
        <v>7.120489823347378</v>
      </c>
    </row>
    <row r="168" spans="2:5" ht="15">
      <c r="B168">
        <f t="shared" si="19"/>
        <v>570</v>
      </c>
      <c r="C168">
        <f>_XLL.ENTROPY('simple Brayton Cycle'!$A$10,"PT",'T-s diagr. data'!$C$5,'T-s diagr. data'!B168-273.15)</f>
        <v>7.5183165811897945</v>
      </c>
      <c r="E168">
        <f>_XLL.ENTROPY('simple Brayton Cycle'!$A$10,"PT",'T-s diagr. data'!$E$5,'T-s diagr. data'!B168-273.15)</f>
        <v>7.12415696897021</v>
      </c>
    </row>
    <row r="169" spans="2:5" ht="15">
      <c r="B169">
        <f t="shared" si="19"/>
        <v>572</v>
      </c>
      <c r="C169">
        <f>_XLL.ENTROPY('simple Brayton Cycle'!$A$10,"PT",'T-s diagr. data'!$C$5,'T-s diagr. data'!B169-273.15)</f>
        <v>7.521972407422583</v>
      </c>
      <c r="E169">
        <f>_XLL.ENTROPY('simple Brayton Cycle'!$A$10,"PT",'T-s diagr. data'!$E$5,'T-s diagr. data'!B169-273.15)</f>
        <v>7.127812795202998</v>
      </c>
    </row>
    <row r="170" spans="2:5" ht="15">
      <c r="B170">
        <f t="shared" si="19"/>
        <v>574</v>
      </c>
      <c r="C170">
        <f>_XLL.ENTROPY('simple Brayton Cycle'!$A$10,"PT",'T-s diagr. data'!$C$5,'T-s diagr. data'!B170-273.15)</f>
        <v>7.52561699775347</v>
      </c>
      <c r="E170">
        <f>_XLL.ENTROPY('simple Brayton Cycle'!$A$10,"PT",'T-s diagr. data'!$E$5,'T-s diagr. data'!B170-273.15)</f>
        <v>7.131457385533884</v>
      </c>
    </row>
    <row r="171" spans="2:5" ht="15">
      <c r="B171">
        <f t="shared" si="19"/>
        <v>576</v>
      </c>
      <c r="C171">
        <f>_XLL.ENTROPY('simple Brayton Cycle'!$A$10,"PT",'T-s diagr. data'!$C$5,'T-s diagr. data'!B171-273.15)</f>
        <v>7.529250434738047</v>
      </c>
      <c r="E171">
        <f>_XLL.ENTROPY('simple Brayton Cycle'!$A$10,"PT",'T-s diagr. data'!$E$5,'T-s diagr. data'!B171-273.15)</f>
        <v>7.135090822518462</v>
      </c>
    </row>
    <row r="172" spans="2:5" ht="15">
      <c r="B172">
        <f t="shared" si="19"/>
        <v>578</v>
      </c>
      <c r="C172">
        <f>_XLL.ENTROPY('simple Brayton Cycle'!$A$10,"PT",'T-s diagr. data'!$C$5,'T-s diagr. data'!B172-273.15)</f>
        <v>7.532872800012392</v>
      </c>
      <c r="E172">
        <f>_XLL.ENTROPY('simple Brayton Cycle'!$A$10,"PT",'T-s diagr. data'!$E$5,'T-s diagr. data'!B172-273.15)</f>
        <v>7.138713187792807</v>
      </c>
    </row>
    <row r="173" spans="2:5" ht="15">
      <c r="B173">
        <f t="shared" si="19"/>
        <v>580</v>
      </c>
      <c r="C173">
        <f>_XLL.ENTROPY('simple Brayton Cycle'!$A$10,"PT",'T-s diagr. data'!$C$5,'T-s diagr. data'!B173-273.15)</f>
        <v>7.536484174305886</v>
      </c>
      <c r="E173">
        <f>_XLL.ENTROPY('simple Brayton Cycle'!$A$10,"PT",'T-s diagr. data'!$E$5,'T-s diagr. data'!B173-273.15)</f>
        <v>7.1423245620863</v>
      </c>
    </row>
    <row r="174" spans="2:5" ht="15">
      <c r="B174">
        <f t="shared" si="19"/>
        <v>582</v>
      </c>
      <c r="C174">
        <f>_XLL.ENTROPY('simple Brayton Cycle'!$A$10,"PT",'T-s diagr. data'!$C$5,'T-s diagr. data'!B174-273.15)</f>
        <v>7.540084637453793</v>
      </c>
      <c r="E174">
        <f>_XLL.ENTROPY('simple Brayton Cycle'!$A$10,"PT",'T-s diagr. data'!$E$5,'T-s diagr. data'!B174-273.15)</f>
        <v>7.145925025234207</v>
      </c>
    </row>
    <row r="175" spans="2:5" ht="15">
      <c r="B175">
        <f t="shared" si="19"/>
        <v>584</v>
      </c>
      <c r="C175">
        <f>_XLL.ENTROPY('simple Brayton Cycle'!$A$10,"PT",'T-s diagr. data'!$C$5,'T-s diagr. data'!B175-273.15)</f>
        <v>7.543674268409636</v>
      </c>
      <c r="E175">
        <f>_XLL.ENTROPY('simple Brayton Cycle'!$A$10,"PT",'T-s diagr. data'!$E$5,'T-s diagr. data'!B175-273.15)</f>
        <v>7.149514656190051</v>
      </c>
    </row>
    <row r="176" spans="2:5" ht="15">
      <c r="B176">
        <f t="shared" si="19"/>
        <v>586</v>
      </c>
      <c r="C176">
        <f>_XLL.ENTROPY('simple Brayton Cycle'!$A$10,"PT",'T-s diagr. data'!$C$5,'T-s diagr. data'!B176-273.15)</f>
        <v>7.547253145257365</v>
      </c>
      <c r="E176">
        <f>_XLL.ENTROPY('simple Brayton Cycle'!$A$10,"PT",'T-s diagr. data'!$E$5,'T-s diagr. data'!B176-273.15)</f>
        <v>7.153093533037779</v>
      </c>
    </row>
    <row r="177" spans="2:5" ht="15">
      <c r="B177">
        <f t="shared" si="19"/>
        <v>588</v>
      </c>
      <c r="C177">
        <f>_XLL.ENTROPY('simple Brayton Cycle'!$A$10,"PT",'T-s diagr. data'!$C$5,'T-s diagr. data'!B177-273.15)</f>
        <v>7.5508213452233095</v>
      </c>
      <c r="E177">
        <f>_XLL.ENTROPY('simple Brayton Cycle'!$A$10,"PT",'T-s diagr. data'!$E$5,'T-s diagr. data'!B177-273.15)</f>
        <v>7.156661733003726</v>
      </c>
    </row>
    <row r="178" spans="2:5" ht="15">
      <c r="B178">
        <f t="shared" si="19"/>
        <v>590</v>
      </c>
      <c r="C178">
        <f>_XLL.ENTROPY('simple Brayton Cycle'!$A$10,"PT",'T-s diagr. data'!$C$5,'T-s diagr. data'!B178-273.15)</f>
        <v>7.554378944687924</v>
      </c>
      <c r="E178">
        <f>_XLL.ENTROPY('simple Brayton Cycle'!$A$10,"PT",'T-s diagr. data'!$E$5,'T-s diagr. data'!B178-273.15)</f>
        <v>7.160219332468341</v>
      </c>
    </row>
    <row r="179" spans="2:5" ht="15">
      <c r="B179">
        <f t="shared" si="19"/>
        <v>592</v>
      </c>
      <c r="C179">
        <f>_XLL.ENTROPY('simple Brayton Cycle'!$A$10,"PT",'T-s diagr. data'!$C$5,'T-s diagr. data'!B179-273.15)</f>
        <v>7.557926019197353</v>
      </c>
      <c r="E179">
        <f>_XLL.ENTROPY('simple Brayton Cycle'!$A$10,"PT",'T-s diagr. data'!$E$5,'T-s diagr. data'!B179-273.15)</f>
        <v>7.16376640697777</v>
      </c>
    </row>
    <row r="180" spans="2:5" ht="15">
      <c r="B180">
        <f t="shared" si="19"/>
        <v>594</v>
      </c>
      <c r="C180">
        <f>_XLL.ENTROPY('simple Brayton Cycle'!$A$10,"PT",'T-s diagr. data'!$C$5,'T-s diagr. data'!B180-273.15)</f>
        <v>7.561462643474777</v>
      </c>
      <c r="E180">
        <f>_XLL.ENTROPY('simple Brayton Cycle'!$A$10,"PT",'T-s diagr. data'!$E$5,'T-s diagr. data'!B180-273.15)</f>
        <v>7.167303031255191</v>
      </c>
    </row>
    <row r="181" spans="2:5" ht="15">
      <c r="B181">
        <f t="shared" si="19"/>
        <v>596</v>
      </c>
      <c r="C181">
        <f>_XLL.ENTROPY('simple Brayton Cycle'!$A$10,"PT",'T-s diagr. data'!$C$5,'T-s diagr. data'!B181-273.15)</f>
        <v>7.564988891431585</v>
      </c>
      <c r="E181">
        <f>_XLL.ENTROPY('simple Brayton Cycle'!$A$10,"PT",'T-s diagr. data'!$E$5,'T-s diagr. data'!B181-273.15)</f>
        <v>7.170829279212001</v>
      </c>
    </row>
    <row r="182" spans="2:5" ht="15">
      <c r="B182">
        <f t="shared" si="19"/>
        <v>598</v>
      </c>
      <c r="C182">
        <f>_XLL.ENTROPY('simple Brayton Cycle'!$A$10,"PT",'T-s diagr. data'!$C$5,'T-s diagr. data'!B182-273.15)</f>
        <v>7.568504836178366</v>
      </c>
      <c r="E182">
        <f>_XLL.ENTROPY('simple Brayton Cycle'!$A$10,"PT",'T-s diagr. data'!$E$5,'T-s diagr. data'!B182-273.15)</f>
        <v>7.17434522395878</v>
      </c>
    </row>
    <row r="183" spans="2:5" ht="15">
      <c r="B183">
        <f t="shared" si="19"/>
        <v>600</v>
      </c>
      <c r="C183">
        <f>_XLL.ENTROPY('simple Brayton Cycle'!$A$10,"PT",'T-s diagr. data'!$C$5,'T-s diagr. data'!B183-273.15)</f>
        <v>7.5720105500356825</v>
      </c>
      <c r="E183">
        <f>_XLL.ENTROPY('simple Brayton Cycle'!$A$10,"PT",'T-s diagr. data'!$E$5,'T-s diagr. data'!B183-273.15)</f>
        <v>7.177850937816099</v>
      </c>
    </row>
    <row r="184" spans="2:5" ht="15">
      <c r="B184">
        <f t="shared" si="19"/>
        <v>602</v>
      </c>
      <c r="C184">
        <f>_XLL.ENTROPY('simple Brayton Cycle'!$A$10,"PT",'T-s diagr. data'!$C$5,'T-s diagr. data'!B184-273.15)</f>
        <v>7.575506104544712</v>
      </c>
      <c r="E184">
        <f>_XLL.ENTROPY('simple Brayton Cycle'!$A$10,"PT",'T-s diagr. data'!$E$5,'T-s diagr. data'!B184-273.15)</f>
        <v>7.181346492325128</v>
      </c>
    </row>
    <row r="185" spans="2:5" ht="15">
      <c r="B185">
        <f t="shared" si="19"/>
        <v>604</v>
      </c>
      <c r="C185">
        <f>_XLL.ENTROPY('simple Brayton Cycle'!$A$10,"PT",'T-s diagr. data'!$C$5,'T-s diagr. data'!B185-273.15)</f>
        <v>7.578991570477673</v>
      </c>
      <c r="E185">
        <f>_XLL.ENTROPY('simple Brayton Cycle'!$A$10,"PT",'T-s diagr. data'!$E$5,'T-s diagr. data'!B185-273.15)</f>
        <v>7.184831958258089</v>
      </c>
    </row>
    <row r="186" spans="2:5" ht="15">
      <c r="B186">
        <f t="shared" si="19"/>
        <v>606</v>
      </c>
      <c r="C186">
        <f>_XLL.ENTROPY('simple Brayton Cycle'!$A$10,"PT",'T-s diagr. data'!$C$5,'T-s diagr. data'!B186-273.15)</f>
        <v>7.5824670178480975</v>
      </c>
      <c r="E186">
        <f>_XLL.ENTROPY('simple Brayton Cycle'!$A$10,"PT",'T-s diagr. data'!$E$5,'T-s diagr. data'!B186-273.15)</f>
        <v>7.188307405628513</v>
      </c>
    </row>
    <row r="187" spans="2:5" ht="15">
      <c r="B187">
        <f t="shared" si="19"/>
        <v>608</v>
      </c>
      <c r="C187">
        <f>_XLL.ENTROPY('simple Brayton Cycle'!$A$10,"PT",'T-s diagr. data'!$C$5,'T-s diagr. data'!B187-273.15)</f>
        <v>7.585932515920938</v>
      </c>
      <c r="E187">
        <f>_XLL.ENTROPY('simple Brayton Cycle'!$A$10,"PT",'T-s diagr. data'!$E$5,'T-s diagr. data'!B187-273.15)</f>
        <v>7.191772903701353</v>
      </c>
    </row>
    <row r="188" spans="2:5" ht="15">
      <c r="B188">
        <f t="shared" si="19"/>
        <v>610</v>
      </c>
      <c r="C188">
        <f>_XLL.ENTROPY('simple Brayton Cycle'!$A$10,"PT",'T-s diagr. data'!$C$5,'T-s diagr. data'!B188-273.15)</f>
        <v>7.589388133222486</v>
      </c>
      <c r="E188">
        <f>_XLL.ENTROPY('simple Brayton Cycle'!$A$10,"PT",'T-s diagr. data'!$E$5,'T-s diagr. data'!B188-273.15)</f>
        <v>7.1952285210029014</v>
      </c>
    </row>
    <row r="189" spans="2:5" ht="15">
      <c r="B189">
        <f t="shared" si="19"/>
        <v>612</v>
      </c>
      <c r="C189">
        <f>_XLL.ENTROPY('simple Brayton Cycle'!$A$10,"PT",'T-s diagr. data'!$C$5,'T-s diagr. data'!B189-273.15)</f>
        <v>7.592833937550156</v>
      </c>
      <c r="E189">
        <f>_XLL.ENTROPY('simple Brayton Cycle'!$A$10,"PT",'T-s diagr. data'!$E$5,'T-s diagr. data'!B189-273.15)</f>
        <v>7.198674325330573</v>
      </c>
    </row>
    <row r="190" spans="2:5" ht="15">
      <c r="B190">
        <f t="shared" si="19"/>
        <v>614</v>
      </c>
      <c r="C190">
        <f>_XLL.ENTROPY('simple Brayton Cycle'!$A$10,"PT",'T-s diagr. data'!$C$5,'T-s diagr. data'!B190-273.15)</f>
        <v>7.596269995982101</v>
      </c>
      <c r="E190">
        <f>_XLL.ENTROPY('simple Brayton Cycle'!$A$10,"PT",'T-s diagr. data'!$E$5,'T-s diagr. data'!B190-273.15)</f>
        <v>7.202110383762517</v>
      </c>
    </row>
    <row r="191" spans="2:5" ht="15">
      <c r="B191">
        <f t="shared" si="19"/>
        <v>616</v>
      </c>
      <c r="C191">
        <f>_XLL.ENTROPY('simple Brayton Cycle'!$A$10,"PT",'T-s diagr. data'!$C$5,'T-s diagr. data'!B191-273.15)</f>
        <v>7.599696374886649</v>
      </c>
      <c r="E191">
        <f>_XLL.ENTROPY('simple Brayton Cycle'!$A$10,"PT",'T-s diagr. data'!$E$5,'T-s diagr. data'!B191-273.15)</f>
        <v>7.205536762667064</v>
      </c>
    </row>
    <row r="192" spans="2:5" ht="15">
      <c r="B192">
        <f t="shared" si="19"/>
        <v>618</v>
      </c>
      <c r="C192">
        <f>_XLL.ENTROPY('simple Brayton Cycle'!$A$10,"PT",'T-s diagr. data'!$C$5,'T-s diagr. data'!B192-273.15)</f>
        <v>7.6031131399316205</v>
      </c>
      <c r="E192">
        <f>_XLL.ENTROPY('simple Brayton Cycle'!$A$10,"PT",'T-s diagr. data'!$E$5,'T-s diagr. data'!B192-273.15)</f>
        <v>7.208953527712037</v>
      </c>
    </row>
    <row r="193" spans="2:5" ht="15">
      <c r="B193">
        <f t="shared" si="19"/>
        <v>620</v>
      </c>
      <c r="C193">
        <f>_XLL.ENTROPY('simple Brayton Cycle'!$A$10,"PT",'T-s diagr. data'!$C$5,'T-s diagr. data'!B193-273.15)</f>
        <v>7.606520356093482</v>
      </c>
      <c r="E193">
        <f>_XLL.ENTROPY('simple Brayton Cycle'!$A$10,"PT",'T-s diagr. data'!$E$5,'T-s diagr. data'!B193-273.15)</f>
        <v>7.212360743873898</v>
      </c>
    </row>
    <row r="194" spans="2:5" ht="15">
      <c r="B194">
        <f t="shared" si="19"/>
        <v>622</v>
      </c>
      <c r="C194">
        <f>_XLL.ENTROPY('simple Brayton Cycle'!$A$10,"PT",'T-s diagr. data'!$C$5,'T-s diagr. data'!B194-273.15)</f>
        <v>7.6099180876663395</v>
      </c>
      <c r="E194">
        <f>_XLL.ENTROPY('simple Brayton Cycle'!$A$10,"PT",'T-s diagr. data'!$E$5,'T-s diagr. data'!B194-273.15)</f>
        <v>7.215758475446754</v>
      </c>
    </row>
    <row r="195" spans="2:5" ht="15">
      <c r="B195">
        <f t="shared" si="19"/>
        <v>624</v>
      </c>
      <c r="C195">
        <f>_XLL.ENTROPY('simple Brayton Cycle'!$A$10,"PT",'T-s diagr. data'!$C$5,'T-s diagr. data'!B195-273.15)</f>
        <v>7.613306398270804</v>
      </c>
      <c r="E195">
        <f>_XLL.ENTROPY('simple Brayton Cycle'!$A$10,"PT",'T-s diagr. data'!$E$5,'T-s diagr. data'!B195-273.15)</f>
        <v>7.219146786051219</v>
      </c>
    </row>
    <row r="196" spans="2:5" ht="15">
      <c r="B196">
        <f t="shared" si="19"/>
        <v>626</v>
      </c>
      <c r="C196">
        <f>_XLL.ENTROPY('simple Brayton Cycle'!$A$10,"PT",'T-s diagr. data'!$C$5,'T-s diagr. data'!B196-273.15)</f>
        <v>7.616685350862714</v>
      </c>
      <c r="E196">
        <f>_XLL.ENTROPY('simple Brayton Cycle'!$A$10,"PT",'T-s diagr. data'!$E$5,'T-s diagr. data'!B196-273.15)</f>
        <v>7.222525738643131</v>
      </c>
    </row>
    <row r="197" spans="2:5" ht="15">
      <c r="B197">
        <f t="shared" si="19"/>
        <v>628</v>
      </c>
      <c r="C197">
        <f>_XLL.ENTROPY('simple Brayton Cycle'!$A$10,"PT",'T-s diagr. data'!$C$5,'T-s diagr. data'!B197-273.15)</f>
        <v>7.620055007741713</v>
      </c>
      <c r="E197">
        <f>_XLL.ENTROPY('simple Brayton Cycle'!$A$10,"PT",'T-s diagr. data'!$E$5,'T-s diagr. data'!B197-273.15)</f>
        <v>7.225895395522128</v>
      </c>
    </row>
    <row r="198" spans="2:5" ht="15">
      <c r="B198">
        <f t="shared" si="19"/>
        <v>630</v>
      </c>
      <c r="C198">
        <f>_XLL.ENTROPY('simple Brayton Cycle'!$A$10,"PT",'T-s diagr. data'!$C$5,'T-s diagr. data'!B198-273.15)</f>
        <v>7.623415430559683</v>
      </c>
      <c r="E198">
        <f>_XLL.ENTROPY('simple Brayton Cycle'!$A$10,"PT",'T-s diagr. data'!$E$5,'T-s diagr. data'!B198-273.15)</f>
        <v>7.229255818340098</v>
      </c>
    </row>
    <row r="199" spans="2:5" ht="15">
      <c r="B199">
        <f t="shared" si="19"/>
        <v>632</v>
      </c>
      <c r="C199">
        <f>_XLL.ENTROPY('simple Brayton Cycle'!$A$10,"PT",'T-s diagr. data'!$C$5,'T-s diagr. data'!B199-273.15)</f>
        <v>7.626766680329065</v>
      </c>
      <c r="E199">
        <f>_XLL.ENTROPY('simple Brayton Cycle'!$A$10,"PT",'T-s diagr. data'!$E$5,'T-s diagr. data'!B199-273.15)</f>
        <v>7.23260706810948</v>
      </c>
    </row>
    <row r="200" spans="2:5" ht="15">
      <c r="B200">
        <f t="shared" si="19"/>
        <v>634</v>
      </c>
      <c r="C200">
        <f>_XLL.ENTROPY('simple Brayton Cycle'!$A$10,"PT",'T-s diagr. data'!$C$5,'T-s diagr. data'!B200-273.15)</f>
        <v>7.630108817431031</v>
      </c>
      <c r="E200">
        <f>_XLL.ENTROPY('simple Brayton Cycle'!$A$10,"PT",'T-s diagr. data'!$E$5,'T-s diagr. data'!B200-273.15)</f>
        <v>7.235949205211448</v>
      </c>
    </row>
    <row r="201" spans="2:5" ht="15">
      <c r="B201">
        <f t="shared" si="19"/>
        <v>636</v>
      </c>
      <c r="C201">
        <f>_XLL.ENTROPY('simple Brayton Cycle'!$A$10,"PT",'T-s diagr. data'!$C$5,'T-s diagr. data'!B201-273.15)</f>
        <v>7.6334419016235415</v>
      </c>
      <c r="E201">
        <f>_XLL.ENTROPY('simple Brayton Cycle'!$A$10,"PT",'T-s diagr. data'!$E$5,'T-s diagr. data'!B201-273.15)</f>
        <v>7.239282289403957</v>
      </c>
    </row>
    <row r="202" spans="2:5" ht="15">
      <c r="B202">
        <f aca="true" t="shared" si="20" ref="B202:B265">B201+2</f>
        <v>638</v>
      </c>
      <c r="C202">
        <f>_XLL.ENTROPY('simple Brayton Cycle'!$A$10,"PT",'T-s diagr. data'!$C$5,'T-s diagr. data'!B202-273.15)</f>
        <v>7.636765992049251</v>
      </c>
      <c r="E202">
        <f>_XLL.ENTROPY('simple Brayton Cycle'!$A$10,"PT",'T-s diagr. data'!$E$5,'T-s diagr. data'!B202-273.15)</f>
        <v>7.242606379829666</v>
      </c>
    </row>
    <row r="203" spans="2:5" ht="15">
      <c r="B203">
        <f t="shared" si="20"/>
        <v>640</v>
      </c>
      <c r="C203">
        <f>_XLL.ENTROPY('simple Brayton Cycle'!$A$10,"PT",'T-s diagr. data'!$C$5,'T-s diagr. data'!B203-273.15)</f>
        <v>7.6400811472433245</v>
      </c>
      <c r="E203">
        <f>_XLL.ENTROPY('simple Brayton Cycle'!$A$10,"PT",'T-s diagr. data'!$E$5,'T-s diagr. data'!B203-273.15)</f>
        <v>7.245921535023739</v>
      </c>
    </row>
    <row r="204" spans="2:5" ht="15">
      <c r="B204">
        <f t="shared" si="20"/>
        <v>642</v>
      </c>
      <c r="C204">
        <f>_XLL.ENTROPY('simple Brayton Cycle'!$A$10,"PT",'T-s diagr. data'!$C$5,'T-s diagr. data'!B204-273.15)</f>
        <v>7.643387425141103</v>
      </c>
      <c r="E204">
        <f>_XLL.ENTROPY('simple Brayton Cycle'!$A$10,"PT",'T-s diagr. data'!$E$5,'T-s diagr. data'!B204-273.15)</f>
        <v>7.249227812921519</v>
      </c>
    </row>
    <row r="205" spans="2:5" ht="15">
      <c r="B205">
        <f t="shared" si="20"/>
        <v>644</v>
      </c>
      <c r="C205">
        <f>_XLL.ENTROPY('simple Brayton Cycle'!$A$10,"PT",'T-s diagr. data'!$C$5,'T-s diagr. data'!B205-273.15)</f>
        <v>7.64668488308567</v>
      </c>
      <c r="E205">
        <f>_XLL.ENTROPY('simple Brayton Cycle'!$A$10,"PT",'T-s diagr. data'!$E$5,'T-s diagr. data'!B205-273.15)</f>
        <v>7.252525270866086</v>
      </c>
    </row>
    <row r="206" spans="2:5" ht="15">
      <c r="B206">
        <f t="shared" si="20"/>
        <v>646</v>
      </c>
      <c r="C206">
        <f>_XLL.ENTROPY('simple Brayton Cycle'!$A$10,"PT",'T-s diagr. data'!$C$5,'T-s diagr. data'!B206-273.15)</f>
        <v>7.64997357783528</v>
      </c>
      <c r="E206">
        <f>_XLL.ENTROPY('simple Brayton Cycle'!$A$10,"PT",'T-s diagr. data'!$E$5,'T-s diagr. data'!B206-273.15)</f>
        <v>7.255813965615696</v>
      </c>
    </row>
    <row r="207" spans="2:5" ht="15">
      <c r="B207">
        <f t="shared" si="20"/>
        <v>648</v>
      </c>
      <c r="C207">
        <f>_XLL.ENTROPY('simple Brayton Cycle'!$A$10,"PT",'T-s diagr. data'!$C$5,'T-s diagr. data'!B207-273.15)</f>
        <v>7.653253565570697</v>
      </c>
      <c r="E207">
        <f>_XLL.ENTROPY('simple Brayton Cycle'!$A$10,"PT",'T-s diagr. data'!$E$5,'T-s diagr. data'!B207-273.15)</f>
        <v>7.259093953351111</v>
      </c>
    </row>
    <row r="208" spans="2:5" ht="15">
      <c r="B208">
        <f t="shared" si="20"/>
        <v>650</v>
      </c>
      <c r="C208">
        <f>_XLL.ENTROPY('simple Brayton Cycle'!$A$10,"PT",'T-s diagr. data'!$C$5,'T-s diagr. data'!B208-273.15)</f>
        <v>7.656524901902398</v>
      </c>
      <c r="E208">
        <f>_XLL.ENTROPY('simple Brayton Cycle'!$A$10,"PT",'T-s diagr. data'!$E$5,'T-s diagr. data'!B208-273.15)</f>
        <v>7.2623652896828155</v>
      </c>
    </row>
    <row r="209" spans="2:5" ht="15">
      <c r="B209">
        <f t="shared" si="20"/>
        <v>652</v>
      </c>
      <c r="C209">
        <f>_XLL.ENTROPY('simple Brayton Cycle'!$A$10,"PT",'T-s diagr. data'!$C$5,'T-s diagr. data'!B209-273.15)</f>
        <v>7.659787641877683</v>
      </c>
      <c r="E209">
        <f>_XLL.ENTROPY('simple Brayton Cycle'!$A$10,"PT",'T-s diagr. data'!$E$5,'T-s diagr. data'!B209-273.15)</f>
        <v>7.265628029658097</v>
      </c>
    </row>
    <row r="210" spans="2:5" ht="15">
      <c r="B210">
        <f t="shared" si="20"/>
        <v>654</v>
      </c>
      <c r="C210">
        <f>_XLL.ENTROPY('simple Brayton Cycle'!$A$10,"PT",'T-s diagr. data'!$C$5,'T-s diagr. data'!B210-273.15)</f>
        <v>7.663041839987652</v>
      </c>
      <c r="E210">
        <f>_XLL.ENTROPY('simple Brayton Cycle'!$A$10,"PT",'T-s diagr. data'!$E$5,'T-s diagr. data'!B210-273.15)</f>
        <v>7.268882227768067</v>
      </c>
    </row>
    <row r="211" spans="2:5" ht="15">
      <c r="B211">
        <f t="shared" si="20"/>
        <v>656</v>
      </c>
      <c r="C211">
        <f>_XLL.ENTROPY('simple Brayton Cycle'!$A$10,"PT",'T-s diagr. data'!$C$5,'T-s diagr. data'!B211-273.15)</f>
        <v>7.666287550174112</v>
      </c>
      <c r="E211">
        <f>_XLL.ENTROPY('simple Brayton Cycle'!$A$10,"PT",'T-s diagr. data'!$E$5,'T-s diagr. data'!B211-273.15)</f>
        <v>7.272127937954527</v>
      </c>
    </row>
    <row r="212" spans="2:5" ht="15">
      <c r="B212">
        <f t="shared" si="20"/>
        <v>658</v>
      </c>
      <c r="C212">
        <f>_XLL.ENTROPY('simple Brayton Cycle'!$A$10,"PT",'T-s diagr. data'!$C$5,'T-s diagr. data'!B212-273.15)</f>
        <v>7.669524825836345</v>
      </c>
      <c r="E212">
        <f>_XLL.ENTROPY('simple Brayton Cycle'!$A$10,"PT",'T-s diagr. data'!$E$5,'T-s diagr. data'!B212-273.15)</f>
        <v>7.2753652136167615</v>
      </c>
    </row>
    <row r="213" spans="2:5" ht="15">
      <c r="B213">
        <f t="shared" si="20"/>
        <v>660</v>
      </c>
      <c r="C213">
        <f>_XLL.ENTROPY('simple Brayton Cycle'!$A$10,"PT",'T-s diagr. data'!$C$5,'T-s diagr. data'!B213-273.15)</f>
        <v>7.6727537198377895</v>
      </c>
      <c r="E213">
        <f>_XLL.ENTROPY('simple Brayton Cycle'!$A$10,"PT",'T-s diagr. data'!$E$5,'T-s diagr. data'!B213-273.15)</f>
        <v>7.278594107618205</v>
      </c>
    </row>
    <row r="214" spans="2:5" ht="15">
      <c r="B214">
        <f t="shared" si="20"/>
        <v>662</v>
      </c>
      <c r="C214">
        <f>_XLL.ENTROPY('simple Brayton Cycle'!$A$10,"PT",'T-s diagr. data'!$C$5,'T-s diagr. data'!B214-273.15)</f>
        <v>7.675974284512622</v>
      </c>
      <c r="E214">
        <f>_XLL.ENTROPY('simple Brayton Cycle'!$A$10,"PT",'T-s diagr. data'!$E$5,'T-s diagr. data'!B214-273.15)</f>
        <v>7.281814672293039</v>
      </c>
    </row>
    <row r="215" spans="2:5" ht="15">
      <c r="B215">
        <f t="shared" si="20"/>
        <v>664</v>
      </c>
      <c r="C215">
        <f>_XLL.ENTROPY('simple Brayton Cycle'!$A$10,"PT",'T-s diagr. data'!$C$5,'T-s diagr. data'!B215-273.15)</f>
        <v>7.6791865716722265</v>
      </c>
      <c r="E215">
        <f>_XLL.ENTROPY('simple Brayton Cycle'!$A$10,"PT",'T-s diagr. data'!$E$5,'T-s diagr. data'!B215-273.15)</f>
        <v>7.285026959452644</v>
      </c>
    </row>
    <row r="216" spans="2:5" ht="15">
      <c r="B216">
        <f t="shared" si="20"/>
        <v>666</v>
      </c>
      <c r="C216">
        <f>_XLL.ENTROPY('simple Brayton Cycle'!$A$10,"PT",'T-s diagr. data'!$C$5,'T-s diagr. data'!B216-273.15)</f>
        <v>7.682390632611586</v>
      </c>
      <c r="E216">
        <f>_XLL.ENTROPY('simple Brayton Cycle'!$A$10,"PT",'T-s diagr. data'!$E$5,'T-s diagr. data'!B216-273.15)</f>
        <v>7.288231020392002</v>
      </c>
    </row>
    <row r="217" spans="2:5" ht="15">
      <c r="B217">
        <f t="shared" si="20"/>
        <v>668</v>
      </c>
      <c r="C217">
        <f>_XLL.ENTROPY('simple Brayton Cycle'!$A$10,"PT",'T-s diagr. data'!$C$5,'T-s diagr. data'!B217-273.15)</f>
        <v>7.6855865181155565</v>
      </c>
      <c r="E217">
        <f>_XLL.ENTROPY('simple Brayton Cycle'!$A$10,"PT",'T-s diagr. data'!$E$5,'T-s diagr. data'!B217-273.15)</f>
        <v>7.291426905895974</v>
      </c>
    </row>
    <row r="218" spans="2:5" ht="15">
      <c r="B218">
        <f t="shared" si="20"/>
        <v>670</v>
      </c>
      <c r="C218">
        <f>_XLL.ENTROPY('simple Brayton Cycle'!$A$10,"PT",'T-s diagr. data'!$C$5,'T-s diagr. data'!B218-273.15)</f>
        <v>7.688774278465071</v>
      </c>
      <c r="E218">
        <f>_XLL.ENTROPY('simple Brayton Cycle'!$A$10,"PT",'T-s diagr. data'!$E$5,'T-s diagr. data'!B218-273.15)</f>
        <v>7.294614666245487</v>
      </c>
    </row>
    <row r="219" spans="2:5" ht="15">
      <c r="B219">
        <f t="shared" si="20"/>
        <v>672</v>
      </c>
      <c r="C219">
        <f>_XLL.ENTROPY('simple Brayton Cycle'!$A$10,"PT",'T-s diagr. data'!$C$5,'T-s diagr. data'!B219-273.15)</f>
        <v>7.691953963443225</v>
      </c>
      <c r="E219">
        <f>_XLL.ENTROPY('simple Brayton Cycle'!$A$10,"PT",'T-s diagr. data'!$E$5,'T-s diagr. data'!B219-273.15)</f>
        <v>7.297794351223643</v>
      </c>
    </row>
    <row r="220" spans="2:5" ht="15">
      <c r="B220">
        <f t="shared" si="20"/>
        <v>674</v>
      </c>
      <c r="C220">
        <f>_XLL.ENTROPY('simple Brayton Cycle'!$A$10,"PT",'T-s diagr. data'!$C$5,'T-s diagr. data'!B220-273.15)</f>
        <v>7.6951256223412985</v>
      </c>
      <c r="E220">
        <f>_XLL.ENTROPY('simple Brayton Cycle'!$A$10,"PT",'T-s diagr. data'!$E$5,'T-s diagr. data'!B220-273.15)</f>
        <v>7.300966010121714</v>
      </c>
    </row>
    <row r="221" spans="2:5" ht="15">
      <c r="B221">
        <f t="shared" si="20"/>
        <v>676</v>
      </c>
      <c r="C221">
        <f>_XLL.ENTROPY('simple Brayton Cycle'!$A$10,"PT",'T-s diagr. data'!$C$5,'T-s diagr. data'!B221-273.15)</f>
        <v>7.6982893039646605</v>
      </c>
      <c r="E221">
        <f>_XLL.ENTROPY('simple Brayton Cycle'!$A$10,"PT",'T-s diagr. data'!$E$5,'T-s diagr. data'!B221-273.15)</f>
        <v>7.304129691745074</v>
      </c>
    </row>
    <row r="222" spans="2:5" ht="15">
      <c r="B222">
        <f t="shared" si="20"/>
        <v>678</v>
      </c>
      <c r="C222">
        <f>_XLL.ENTROPY('simple Brayton Cycle'!$A$10,"PT",'T-s diagr. data'!$C$5,'T-s diagr. data'!B222-273.15)</f>
        <v>7.7014450566386135</v>
      </c>
      <c r="E222">
        <f>_XLL.ENTROPY('simple Brayton Cycle'!$A$10,"PT",'T-s diagr. data'!$E$5,'T-s diagr. data'!B222-273.15)</f>
        <v>7.307285444419028</v>
      </c>
    </row>
    <row r="223" spans="2:5" ht="15">
      <c r="B223">
        <f t="shared" si="20"/>
        <v>680</v>
      </c>
      <c r="C223">
        <f>_XLL.ENTROPY('simple Brayton Cycle'!$A$10,"PT",'T-s diagr. data'!$C$5,'T-s diagr. data'!B223-273.15)</f>
        <v>7.704592928214133</v>
      </c>
      <c r="E223">
        <f>_XLL.ENTROPY('simple Brayton Cycle'!$A$10,"PT",'T-s diagr. data'!$E$5,'T-s diagr. data'!B223-273.15)</f>
        <v>7.3104333159945485</v>
      </c>
    </row>
    <row r="224" spans="2:5" ht="15">
      <c r="B224">
        <f t="shared" si="20"/>
        <v>682</v>
      </c>
      <c r="C224">
        <f>_XLL.ENTROPY('simple Brayton Cycle'!$A$10,"PT",'T-s diagr. data'!$C$5,'T-s diagr. data'!B224-273.15)</f>
        <v>7.707732966073535</v>
      </c>
      <c r="E224">
        <f>_XLL.ENTROPY('simple Brayton Cycle'!$A$10,"PT",'T-s diagr. data'!$E$5,'T-s diagr. data'!B224-273.15)</f>
        <v>7.313573353853949</v>
      </c>
    </row>
    <row r="225" spans="2:5" ht="15">
      <c r="B225">
        <f t="shared" si="20"/>
        <v>684</v>
      </c>
      <c r="C225">
        <f>_XLL.ENTROPY('simple Brayton Cycle'!$A$10,"PT",'T-s diagr. data'!$C$5,'T-s diagr. data'!B225-273.15)</f>
        <v>7.710865217136043</v>
      </c>
      <c r="E225">
        <f>_XLL.ENTROPY('simple Brayton Cycle'!$A$10,"PT",'T-s diagr. data'!$E$5,'T-s diagr. data'!B225-273.15)</f>
        <v>7.316705604916459</v>
      </c>
    </row>
    <row r="226" spans="2:5" ht="15">
      <c r="B226">
        <f t="shared" si="20"/>
        <v>686</v>
      </c>
      <c r="C226">
        <f>_XLL.ENTROPY('simple Brayton Cycle'!$A$10,"PT",'T-s diagr. data'!$C$5,'T-s diagr. data'!B226-273.15)</f>
        <v>7.713989727863302</v>
      </c>
      <c r="E226">
        <f>_XLL.ENTROPY('simple Brayton Cycle'!$A$10,"PT",'T-s diagr. data'!$E$5,'T-s diagr. data'!B226-273.15)</f>
        <v>7.319830115643716</v>
      </c>
    </row>
    <row r="227" spans="2:5" ht="15">
      <c r="B227">
        <f t="shared" si="20"/>
        <v>688</v>
      </c>
      <c r="C227">
        <f>_XLL.ENTROPY('simple Brayton Cycle'!$A$10,"PT",'T-s diagr. data'!$C$5,'T-s diagr. data'!B227-273.15)</f>
        <v>7.717106544264778</v>
      </c>
      <c r="E227">
        <f>_XLL.ENTROPY('simple Brayton Cycle'!$A$10,"PT",'T-s diagr. data'!$E$5,'T-s diagr. data'!B227-273.15)</f>
        <v>7.322946932045195</v>
      </c>
    </row>
    <row r="228" spans="2:5" ht="15">
      <c r="B228">
        <f t="shared" si="20"/>
        <v>690</v>
      </c>
      <c r="C228">
        <f>_XLL.ENTROPY('simple Brayton Cycle'!$A$10,"PT",'T-s diagr. data'!$C$5,'T-s diagr. data'!B228-273.15)</f>
        <v>7.720215711903112</v>
      </c>
      <c r="E228">
        <f>_XLL.ENTROPY('simple Brayton Cycle'!$A$10,"PT",'T-s diagr. data'!$E$5,'T-s diagr. data'!B228-273.15)</f>
        <v>7.326056099683528</v>
      </c>
    </row>
    <row r="229" spans="2:5" ht="15">
      <c r="B229">
        <f t="shared" si="20"/>
        <v>692</v>
      </c>
      <c r="C229">
        <f>_XLL.ENTROPY('simple Brayton Cycle'!$A$10,"PT",'T-s diagr. data'!$C$5,'T-s diagr. data'!B229-273.15)</f>
        <v>7.7233172758993724</v>
      </c>
      <c r="E229">
        <f>_XLL.ENTROPY('simple Brayton Cycle'!$A$10,"PT",'T-s diagr. data'!$E$5,'T-s diagr. data'!B229-273.15)</f>
        <v>7.329157663679787</v>
      </c>
    </row>
    <row r="230" spans="2:5" ht="15">
      <c r="B230">
        <f t="shared" si="20"/>
        <v>694</v>
      </c>
      <c r="C230">
        <f>_XLL.ENTROPY('simple Brayton Cycle'!$A$10,"PT",'T-s diagr. data'!$C$5,'T-s diagr. data'!B230-273.15)</f>
        <v>7.726411280938241</v>
      </c>
      <c r="E230">
        <f>_XLL.ENTROPY('simple Brayton Cycle'!$A$10,"PT",'T-s diagr. data'!$E$5,'T-s diagr. data'!B230-273.15)</f>
        <v>7.332251668718657</v>
      </c>
    </row>
    <row r="231" spans="2:5" ht="15">
      <c r="B231">
        <f t="shared" si="20"/>
        <v>696</v>
      </c>
      <c r="C231">
        <f>_XLL.ENTROPY('simple Brayton Cycle'!$A$10,"PT",'T-s diagr. data'!$C$5,'T-s diagr. data'!B231-273.15)</f>
        <v>7.729497771273128</v>
      </c>
      <c r="E231">
        <f>_XLL.ENTROPY('simple Brayton Cycle'!$A$10,"PT",'T-s diagr. data'!$E$5,'T-s diagr. data'!B231-273.15)</f>
        <v>7.335338159053543</v>
      </c>
    </row>
    <row r="232" spans="2:5" ht="15">
      <c r="B232">
        <f t="shared" si="20"/>
        <v>698</v>
      </c>
      <c r="C232">
        <f>_XLL.ENTROPY('simple Brayton Cycle'!$A$10,"PT",'T-s diagr. data'!$C$5,'T-s diagr. data'!B232-273.15)</f>
        <v>7.732576790731204</v>
      </c>
      <c r="E232">
        <f>_XLL.ENTROPY('simple Brayton Cycle'!$A$10,"PT",'T-s diagr. data'!$E$5,'T-s diagr. data'!B232-273.15)</f>
        <v>7.33841717851162</v>
      </c>
    </row>
    <row r="233" spans="2:5" ht="15">
      <c r="B233">
        <f t="shared" si="20"/>
        <v>700</v>
      </c>
      <c r="C233">
        <f>_XLL.ENTROPY('simple Brayton Cycle'!$A$10,"PT",'T-s diagr. data'!$C$5,'T-s diagr. data'!B233-273.15)</f>
        <v>7.735648382718377</v>
      </c>
      <c r="E233">
        <f>_XLL.ENTROPY('simple Brayton Cycle'!$A$10,"PT",'T-s diagr. data'!$E$5,'T-s diagr. data'!B233-273.15)</f>
        <v>7.341488770498792</v>
      </c>
    </row>
    <row r="234" spans="2:5" ht="15">
      <c r="B234">
        <f t="shared" si="20"/>
        <v>702</v>
      </c>
      <c r="C234">
        <f>_XLL.ENTROPY('simple Brayton Cycle'!$A$10,"PT",'T-s diagr. data'!$C$5,'T-s diagr. data'!B234-273.15)</f>
        <v>7.73871259022417</v>
      </c>
      <c r="E234">
        <f>_XLL.ENTROPY('simple Brayton Cycle'!$A$10,"PT",'T-s diagr. data'!$E$5,'T-s diagr. data'!B234-273.15)</f>
        <v>7.344552978004584</v>
      </c>
    </row>
    <row r="235" spans="2:5" ht="15">
      <c r="B235">
        <f t="shared" si="20"/>
        <v>704</v>
      </c>
      <c r="C235">
        <f>_XLL.ENTROPY('simple Brayton Cycle'!$A$10,"PT",'T-s diagr. data'!$C$5,'T-s diagr. data'!B235-273.15)</f>
        <v>7.741769455826559</v>
      </c>
      <c r="E235">
        <f>_XLL.ENTROPY('simple Brayton Cycle'!$A$10,"PT",'T-s diagr. data'!$E$5,'T-s diagr. data'!B235-273.15)</f>
        <v>7.347609843606972</v>
      </c>
    </row>
    <row r="236" spans="2:5" ht="15">
      <c r="B236">
        <f t="shared" si="20"/>
        <v>706</v>
      </c>
      <c r="C236">
        <f>_XLL.ENTROPY('simple Brayton Cycle'!$A$10,"PT",'T-s diagr. data'!$C$5,'T-s diagr. data'!B236-273.15)</f>
        <v>7.74481902169672</v>
      </c>
      <c r="E236">
        <f>_XLL.ENTROPY('simple Brayton Cycle'!$A$10,"PT",'T-s diagr. data'!$E$5,'T-s diagr. data'!B236-273.15)</f>
        <v>7.350659409477137</v>
      </c>
    </row>
    <row r="237" spans="2:5" ht="15">
      <c r="B237">
        <f t="shared" si="20"/>
        <v>708</v>
      </c>
      <c r="C237">
        <f>_XLL.ENTROPY('simple Brayton Cycle'!$A$10,"PT",'T-s diagr. data'!$C$5,'T-s diagr. data'!B237-273.15)</f>
        <v>7.747861329603734</v>
      </c>
      <c r="E237">
        <f>_XLL.ENTROPY('simple Brayton Cycle'!$A$10,"PT",'T-s diagr. data'!$E$5,'T-s diagr. data'!B237-273.15)</f>
        <v>7.353701717384149</v>
      </c>
    </row>
    <row r="238" spans="2:5" ht="15">
      <c r="B238">
        <f t="shared" si="20"/>
        <v>710</v>
      </c>
      <c r="C238">
        <f>_XLL.ENTROPY('simple Brayton Cycle'!$A$10,"PT",'T-s diagr. data'!$C$5,'T-s diagr. data'!B238-273.15)</f>
        <v>7.75089642091919</v>
      </c>
      <c r="E238">
        <f>_XLL.ENTROPY('simple Brayton Cycle'!$A$10,"PT",'T-s diagr. data'!$E$5,'T-s diagr. data'!B238-273.15)</f>
        <v>7.356736808699606</v>
      </c>
    </row>
    <row r="239" spans="2:5" ht="15">
      <c r="B239">
        <f t="shared" si="20"/>
        <v>712</v>
      </c>
      <c r="C239">
        <f>_XLL.ENTROPY('simple Brayton Cycle'!$A$10,"PT",'T-s diagr. data'!$C$5,'T-s diagr. data'!B239-273.15)</f>
        <v>7.753924336621757</v>
      </c>
      <c r="E239">
        <f>_XLL.ENTROPY('simple Brayton Cycle'!$A$10,"PT",'T-s diagr. data'!$E$5,'T-s diagr. data'!B239-273.15)</f>
        <v>7.359764724402174</v>
      </c>
    </row>
    <row r="240" spans="2:5" ht="15">
      <c r="B240">
        <f t="shared" si="20"/>
        <v>714</v>
      </c>
      <c r="C240">
        <f>_XLL.ENTROPY('simple Brayton Cycle'!$A$10,"PT",'T-s diagr. data'!$C$5,'T-s diagr. data'!B240-273.15)</f>
        <v>7.756945117301675</v>
      </c>
      <c r="E240">
        <f>_XLL.ENTROPY('simple Brayton Cycle'!$A$10,"PT",'T-s diagr. data'!$E$5,'T-s diagr. data'!B240-273.15)</f>
        <v>7.362785505082091</v>
      </c>
    </row>
    <row r="241" spans="2:5" ht="15">
      <c r="B241">
        <f t="shared" si="20"/>
        <v>716</v>
      </c>
      <c r="C241">
        <f>_XLL.ENTROPY('simple Brayton Cycle'!$A$10,"PT",'T-s diagr. data'!$C$5,'T-s diagr. data'!B241-273.15)</f>
        <v>7.759958803165183</v>
      </c>
      <c r="E241">
        <f>_XLL.ENTROPY('simple Brayton Cycle'!$A$10,"PT",'T-s diagr. data'!$E$5,'T-s diagr. data'!B241-273.15)</f>
        <v>7.365799190945601</v>
      </c>
    </row>
    <row r="242" spans="2:5" ht="15">
      <c r="B242">
        <f t="shared" si="20"/>
        <v>718</v>
      </c>
      <c r="C242">
        <f>_XLL.ENTROPY('simple Brayton Cycle'!$A$10,"PT",'T-s diagr. data'!$C$5,'T-s diagr. data'!B242-273.15)</f>
        <v>7.762965434038892</v>
      </c>
      <c r="E242">
        <f>_XLL.ENTROPY('simple Brayton Cycle'!$A$10,"PT",'T-s diagr. data'!$E$5,'T-s diagr. data'!B242-273.15)</f>
        <v>7.36880582181931</v>
      </c>
    </row>
    <row r="243" spans="2:5" ht="15">
      <c r="B243">
        <f t="shared" si="20"/>
        <v>720</v>
      </c>
      <c r="C243">
        <f>_XLL.ENTROPY('simple Brayton Cycle'!$A$10,"PT",'T-s diagr. data'!$C$5,'T-s diagr. data'!B243-273.15)</f>
        <v>7.765965049374096</v>
      </c>
      <c r="E243">
        <f>_XLL.ENTROPY('simple Brayton Cycle'!$A$10,"PT",'T-s diagr. data'!$E$5,'T-s diagr. data'!B243-273.15)</f>
        <v>7.371805437154513</v>
      </c>
    </row>
    <row r="244" spans="2:5" ht="15">
      <c r="B244">
        <f t="shared" si="20"/>
        <v>722</v>
      </c>
      <c r="C244">
        <f>_XLL.ENTROPY('simple Brayton Cycle'!$A$10,"PT",'T-s diagr. data'!$C$5,'T-s diagr. data'!B244-273.15)</f>
        <v>7.768957688251013</v>
      </c>
      <c r="E244">
        <f>_XLL.ENTROPY('simple Brayton Cycle'!$A$10,"PT",'T-s diagr. data'!$E$5,'T-s diagr. data'!B244-273.15)</f>
        <v>7.3747980760314285</v>
      </c>
    </row>
    <row r="245" spans="2:5" ht="15">
      <c r="B245">
        <f t="shared" si="20"/>
        <v>724</v>
      </c>
      <c r="C245">
        <f>_XLL.ENTROPY('simple Brayton Cycle'!$A$10,"PT",'T-s diagr. data'!$C$5,'T-s diagr. data'!B245-273.15)</f>
        <v>7.771943389382978</v>
      </c>
      <c r="E245">
        <f>_XLL.ENTROPY('simple Brayton Cycle'!$A$10,"PT",'T-s diagr. data'!$E$5,'T-s diagr. data'!B245-273.15)</f>
        <v>7.377783777163395</v>
      </c>
    </row>
    <row r="246" spans="2:5" ht="15">
      <c r="B246">
        <f t="shared" si="20"/>
        <v>726</v>
      </c>
      <c r="C246">
        <f>_XLL.ENTROPY('simple Brayton Cycle'!$A$10,"PT",'T-s diagr. data'!$C$5,'T-s diagr. data'!B246-273.15)</f>
        <v>7.774922191120587</v>
      </c>
      <c r="E246">
        <f>_XLL.ENTROPY('simple Brayton Cycle'!$A$10,"PT",'T-s diagr. data'!$E$5,'T-s diagr. data'!B246-273.15)</f>
        <v>7.3807625789010025</v>
      </c>
    </row>
    <row r="247" spans="2:5" ht="15">
      <c r="B247">
        <f t="shared" si="20"/>
        <v>728</v>
      </c>
      <c r="C247">
        <f>_XLL.ENTROPY('simple Brayton Cycle'!$A$10,"PT",'T-s diagr. data'!$C$5,'T-s diagr. data'!B247-273.15)</f>
        <v>7.777894131455754</v>
      </c>
      <c r="E247">
        <f>_XLL.ENTROPY('simple Brayton Cycle'!$A$10,"PT",'T-s diagr. data'!$E$5,'T-s diagr. data'!B247-273.15)</f>
        <v>7.383734519236171</v>
      </c>
    </row>
    <row r="248" spans="2:5" ht="15">
      <c r="B248">
        <f t="shared" si="20"/>
        <v>730</v>
      </c>
      <c r="C248">
        <f>_XLL.ENTROPY('simple Brayton Cycle'!$A$10,"PT",'T-s diagr. data'!$C$5,'T-s diagr. data'!B248-273.15)</f>
        <v>7.7808592480257435</v>
      </c>
      <c r="E248">
        <f>_XLL.ENTROPY('simple Brayton Cycle'!$A$10,"PT",'T-s diagr. data'!$E$5,'T-s diagr. data'!B248-273.15)</f>
        <v>7.386699635806161</v>
      </c>
    </row>
    <row r="249" spans="2:5" ht="15">
      <c r="B249">
        <f t="shared" si="20"/>
        <v>732</v>
      </c>
      <c r="C249">
        <f>_XLL.ENTROPY('simple Brayton Cycle'!$A$10,"PT",'T-s diagr. data'!$C$5,'T-s diagr. data'!B249-273.15)</f>
        <v>7.783817578117133</v>
      </c>
      <c r="E249">
        <f>_XLL.ENTROPY('simple Brayton Cycle'!$A$10,"PT",'T-s diagr. data'!$E$5,'T-s diagr. data'!B249-273.15)</f>
        <v>7.389657965897549</v>
      </c>
    </row>
    <row r="250" spans="2:5" ht="15">
      <c r="B250">
        <f t="shared" si="20"/>
        <v>734</v>
      </c>
      <c r="C250">
        <f>_XLL.ENTROPY('simple Brayton Cycle'!$A$10,"PT",'T-s diagr. data'!$C$5,'T-s diagr. data'!B250-273.15)</f>
        <v>7.786769158669716</v>
      </c>
      <c r="E250">
        <f>_XLL.ENTROPY('simple Brayton Cycle'!$A$10,"PT",'T-s diagr. data'!$E$5,'T-s diagr. data'!B250-273.15)</f>
        <v>7.392609546450131</v>
      </c>
    </row>
    <row r="251" spans="2:5" ht="15">
      <c r="B251">
        <f t="shared" si="20"/>
        <v>736</v>
      </c>
      <c r="C251">
        <f>_XLL.ENTROPY('simple Brayton Cycle'!$A$10,"PT",'T-s diagr. data'!$C$5,'T-s diagr. data'!B251-273.15)</f>
        <v>7.7897140262803735</v>
      </c>
      <c r="E251">
        <f>_XLL.ENTROPY('simple Brayton Cycle'!$A$10,"PT",'T-s diagr. data'!$E$5,'T-s diagr. data'!B251-273.15)</f>
        <v>7.39555441406079</v>
      </c>
    </row>
    <row r="252" spans="2:5" ht="15">
      <c r="B252">
        <f t="shared" si="20"/>
        <v>738</v>
      </c>
      <c r="C252">
        <f>_XLL.ENTROPY('simple Brayton Cycle'!$A$10,"PT",'T-s diagr. data'!$C$5,'T-s diagr. data'!B252-273.15)</f>
        <v>7.792652217206864</v>
      </c>
      <c r="E252">
        <f>_XLL.ENTROPY('simple Brayton Cycle'!$A$10,"PT",'T-s diagr. data'!$E$5,'T-s diagr. data'!B252-273.15)</f>
        <v>7.39849260498728</v>
      </c>
    </row>
    <row r="253" spans="2:5" ht="15">
      <c r="B253">
        <f t="shared" si="20"/>
        <v>740</v>
      </c>
      <c r="C253">
        <f>_XLL.ENTROPY('simple Brayton Cycle'!$A$10,"PT",'T-s diagr. data'!$C$5,'T-s diagr. data'!B253-273.15)</f>
        <v>7.795583767371589</v>
      </c>
      <c r="E253">
        <f>_XLL.ENTROPY('simple Brayton Cycle'!$A$10,"PT",'T-s diagr. data'!$E$5,'T-s diagr. data'!B253-273.15)</f>
        <v>7.401424155152004</v>
      </c>
    </row>
    <row r="254" spans="2:5" ht="15">
      <c r="B254">
        <f t="shared" si="20"/>
        <v>742</v>
      </c>
      <c r="C254">
        <f>_XLL.ENTROPY('simple Brayton Cycle'!$A$10,"PT",'T-s diagr. data'!$C$5,'T-s diagr. data'!B254-273.15)</f>
        <v>7.798508712365289</v>
      </c>
      <c r="E254">
        <f>_XLL.ENTROPY('simple Brayton Cycle'!$A$10,"PT",'T-s diagr. data'!$E$5,'T-s diagr. data'!B254-273.15)</f>
        <v>7.404349100145704</v>
      </c>
    </row>
    <row r="255" spans="2:5" ht="15">
      <c r="B255">
        <f t="shared" si="20"/>
        <v>744</v>
      </c>
      <c r="C255">
        <f>_XLL.ENTROPY('simple Brayton Cycle'!$A$10,"PT",'T-s diagr. data'!$C$5,'T-s diagr. data'!B255-273.15)</f>
        <v>7.801427087450699</v>
      </c>
      <c r="E255">
        <f>_XLL.ENTROPY('simple Brayton Cycle'!$A$10,"PT",'T-s diagr. data'!$E$5,'T-s diagr. data'!B255-273.15)</f>
        <v>7.407267475231114</v>
      </c>
    </row>
    <row r="256" spans="2:5" ht="15">
      <c r="B256">
        <f t="shared" si="20"/>
        <v>746</v>
      </c>
      <c r="C256">
        <f>_XLL.ENTROPY('simple Brayton Cycle'!$A$10,"PT",'T-s diagr. data'!$C$5,'T-s diagr. data'!B256-273.15)</f>
        <v>7.804338927566149</v>
      </c>
      <c r="E256">
        <f>_XLL.ENTROPY('simple Brayton Cycle'!$A$10,"PT",'T-s diagr. data'!$E$5,'T-s diagr. data'!B256-273.15)</f>
        <v>7.410179315346563</v>
      </c>
    </row>
    <row r="257" spans="2:5" ht="15">
      <c r="B257">
        <f t="shared" si="20"/>
        <v>748</v>
      </c>
      <c r="C257">
        <f>_XLL.ENTROPY('simple Brayton Cycle'!$A$10,"PT",'T-s diagr. data'!$C$5,'T-s diagr. data'!B257-273.15)</f>
        <v>7.8072442673291285</v>
      </c>
      <c r="E257">
        <f>_XLL.ENTROPY('simple Brayton Cycle'!$A$10,"PT",'T-s diagr. data'!$E$5,'T-s diagr. data'!B257-273.15)</f>
        <v>7.413084655109546</v>
      </c>
    </row>
    <row r="258" spans="2:5" ht="15">
      <c r="B258">
        <f t="shared" si="20"/>
        <v>750</v>
      </c>
      <c r="C258">
        <f>_XLL.ENTROPY('simple Brayton Cycle'!$A$10,"PT",'T-s diagr. data'!$C$5,'T-s diagr. data'!B258-273.15)</f>
        <v>7.810143141039787</v>
      </c>
      <c r="E258">
        <f>_XLL.ENTROPY('simple Brayton Cycle'!$A$10,"PT",'T-s diagr. data'!$E$5,'T-s diagr. data'!B258-273.15)</f>
        <v>7.415983528820203</v>
      </c>
    </row>
    <row r="259" spans="2:5" ht="15">
      <c r="B259">
        <f t="shared" si="20"/>
        <v>752</v>
      </c>
      <c r="C259">
        <f>_XLL.ENTROPY('simple Brayton Cycle'!$A$10,"PT",'T-s diagr. data'!$C$5,'T-s diagr. data'!B259-273.15)</f>
        <v>7.813035582684396</v>
      </c>
      <c r="E259">
        <f>_XLL.ENTROPY('simple Brayton Cycle'!$A$10,"PT",'T-s diagr. data'!$E$5,'T-s diagr. data'!B259-273.15)</f>
        <v>7.4188759704648115</v>
      </c>
    </row>
    <row r="260" spans="2:5" ht="15">
      <c r="B260">
        <f t="shared" si="20"/>
        <v>754</v>
      </c>
      <c r="C260">
        <f>_XLL.ENTROPY('simple Brayton Cycle'!$A$10,"PT",'T-s diagr. data'!$C$5,'T-s diagr. data'!B260-273.15)</f>
        <v>7.81592162593877</v>
      </c>
      <c r="E260">
        <f>_XLL.ENTROPY('simple Brayton Cycle'!$A$10,"PT",'T-s diagr. data'!$E$5,'T-s diagr. data'!B260-273.15)</f>
        <v>7.421762013719183</v>
      </c>
    </row>
    <row r="261" spans="2:5" ht="15">
      <c r="B261">
        <f t="shared" si="20"/>
        <v>756</v>
      </c>
      <c r="C261">
        <f>_XLL.ENTROPY('simple Brayton Cycle'!$A$10,"PT",'T-s diagr. data'!$C$5,'T-s diagr. data'!B261-273.15)</f>
        <v>7.818801304171629</v>
      </c>
      <c r="E261">
        <f>_XLL.ENTROPY('simple Brayton Cycle'!$A$10,"PT",'T-s diagr. data'!$E$5,'T-s diagr. data'!B261-273.15)</f>
        <v>7.424641691952043</v>
      </c>
    </row>
    <row r="262" spans="2:5" ht="15">
      <c r="B262">
        <f t="shared" si="20"/>
        <v>758</v>
      </c>
      <c r="C262">
        <f>_XLL.ENTROPY('simple Brayton Cycle'!$A$10,"PT",'T-s diagr. data'!$C$5,'T-s diagr. data'!B262-273.15)</f>
        <v>7.821674650447931</v>
      </c>
      <c r="E262">
        <f>_XLL.ENTROPY('simple Brayton Cycle'!$A$10,"PT",'T-s diagr. data'!$E$5,'T-s diagr. data'!B262-273.15)</f>
        <v>7.427515038228348</v>
      </c>
    </row>
    <row r="263" spans="2:5" ht="15">
      <c r="B263">
        <f t="shared" si="20"/>
        <v>760</v>
      </c>
      <c r="C263">
        <f>_XLL.ENTROPY('simple Brayton Cycle'!$A$10,"PT",'T-s diagr. data'!$C$5,'T-s diagr. data'!B263-273.15)</f>
        <v>7.824541697532157</v>
      </c>
      <c r="E263">
        <f>_XLL.ENTROPY('simple Brayton Cycle'!$A$10,"PT",'T-s diagr. data'!$E$5,'T-s diagr. data'!B263-273.15)</f>
        <v>7.430382085312571</v>
      </c>
    </row>
    <row r="264" spans="2:5" ht="15">
      <c r="B264">
        <f t="shared" si="20"/>
        <v>762</v>
      </c>
      <c r="C264">
        <f>_XLL.ENTROPY('simple Brayton Cycle'!$A$10,"PT",'T-s diagr. data'!$C$5,'T-s diagr. data'!B264-273.15)</f>
        <v>7.827402477891535</v>
      </c>
      <c r="E264">
        <f>_XLL.ENTROPY('simple Brayton Cycle'!$A$10,"PT",'T-s diagr. data'!$E$5,'T-s diagr. data'!B264-273.15)</f>
        <v>7.433242865671949</v>
      </c>
    </row>
    <row r="265" spans="2:5" ht="15">
      <c r="B265">
        <f t="shared" si="20"/>
        <v>764</v>
      </c>
      <c r="C265">
        <f>_XLL.ENTROPY('simple Brayton Cycle'!$A$10,"PT",'T-s diagr. data'!$C$5,'T-s diagr. data'!B265-273.15)</f>
        <v>7.830257023699253</v>
      </c>
      <c r="E265">
        <f>_XLL.ENTROPY('simple Brayton Cycle'!$A$10,"PT",'T-s diagr. data'!$E$5,'T-s diagr. data'!B265-273.15)</f>
        <v>7.436097411479668</v>
      </c>
    </row>
    <row r="266" spans="2:5" ht="15">
      <c r="B266">
        <f aca="true" t="shared" si="21" ref="B266:B329">B265+2</f>
        <v>766</v>
      </c>
      <c r="C266">
        <f>_XLL.ENTROPY('simple Brayton Cycle'!$A$10,"PT",'T-s diagr. data'!$C$5,'T-s diagr. data'!B266-273.15)</f>
        <v>7.833105366837606</v>
      </c>
      <c r="E266">
        <f>_XLL.ENTROPY('simple Brayton Cycle'!$A$10,"PT",'T-s diagr. data'!$E$5,'T-s diagr. data'!B266-273.15)</f>
        <v>7.43894575461802</v>
      </c>
    </row>
    <row r="267" spans="2:5" ht="15">
      <c r="B267">
        <f t="shared" si="21"/>
        <v>768</v>
      </c>
      <c r="C267">
        <f>_XLL.ENTROPY('simple Brayton Cycle'!$A$10,"PT",'T-s diagr. data'!$C$5,'T-s diagr. data'!B267-273.15)</f>
        <v>7.835947538901109</v>
      </c>
      <c r="E267">
        <f>_XLL.ENTROPY('simple Brayton Cycle'!$A$10,"PT",'T-s diagr. data'!$E$5,'T-s diagr. data'!B267-273.15)</f>
        <v>7.441787926681524</v>
      </c>
    </row>
    <row r="268" spans="2:5" ht="15">
      <c r="B268">
        <f t="shared" si="21"/>
        <v>770</v>
      </c>
      <c r="C268">
        <f>_XLL.ENTROPY('simple Brayton Cycle'!$A$10,"PT",'T-s diagr. data'!$C$5,'T-s diagr. data'!B268-273.15)</f>
        <v>7.838783571199573</v>
      </c>
      <c r="E268">
        <f>_XLL.ENTROPY('simple Brayton Cycle'!$A$10,"PT",'T-s diagr. data'!$E$5,'T-s diagr. data'!B268-273.15)</f>
        <v>7.444623958979987</v>
      </c>
    </row>
    <row r="269" spans="2:5" ht="15">
      <c r="B269">
        <f t="shared" si="21"/>
        <v>772</v>
      </c>
      <c r="C269">
        <f>_XLL.ENTROPY('simple Brayton Cycle'!$A$10,"PT",'T-s diagr. data'!$C$5,'T-s diagr. data'!B269-273.15)</f>
        <v>7.841613494761136</v>
      </c>
      <c r="E269">
        <f>_XLL.ENTROPY('simple Brayton Cycle'!$A$10,"PT",'T-s diagr. data'!$E$5,'T-s diagr. data'!B269-273.15)</f>
        <v>7.44745388254155</v>
      </c>
    </row>
    <row r="270" spans="2:5" ht="15">
      <c r="B270">
        <f t="shared" si="21"/>
        <v>774</v>
      </c>
      <c r="C270">
        <f>_XLL.ENTROPY('simple Brayton Cycle'!$A$10,"PT",'T-s diagr. data'!$C$5,'T-s diagr. data'!B270-273.15)</f>
        <v>7.844437340335256</v>
      </c>
      <c r="E270">
        <f>_XLL.ENTROPY('simple Brayton Cycle'!$A$10,"PT",'T-s diagr. data'!$E$5,'T-s diagr. data'!B270-273.15)</f>
        <v>7.450277728115672</v>
      </c>
    </row>
    <row r="271" spans="2:5" ht="15">
      <c r="B271">
        <f t="shared" si="21"/>
        <v>776</v>
      </c>
      <c r="C271">
        <f>_XLL.ENTROPY('simple Brayton Cycle'!$A$10,"PT",'T-s diagr. data'!$C$5,'T-s diagr. data'!B271-273.15)</f>
        <v>7.847255138395674</v>
      </c>
      <c r="E271">
        <f>_XLL.ENTROPY('simple Brayton Cycle'!$A$10,"PT",'T-s diagr. data'!$E$5,'T-s diagr. data'!B271-273.15)</f>
        <v>7.453095526176088</v>
      </c>
    </row>
    <row r="272" spans="2:5" ht="15">
      <c r="B272">
        <f t="shared" si="21"/>
        <v>778</v>
      </c>
      <c r="C272">
        <f>_XLL.ENTROPY('simple Brayton Cycle'!$A$10,"PT",'T-s diagr. data'!$C$5,'T-s diagr. data'!B272-273.15)</f>
        <v>7.850066919143318</v>
      </c>
      <c r="E272">
        <f>_XLL.ENTROPY('simple Brayton Cycle'!$A$10,"PT",'T-s diagr. data'!$E$5,'T-s diagr. data'!B272-273.15)</f>
        <v>7.455907306923733</v>
      </c>
    </row>
    <row r="273" spans="2:5" ht="15">
      <c r="B273">
        <f t="shared" si="21"/>
        <v>780</v>
      </c>
      <c r="C273">
        <f>_XLL.ENTROPY('simple Brayton Cycle'!$A$10,"PT",'T-s diagr. data'!$C$5,'T-s diagr. data'!B273-273.15)</f>
        <v>7.852872712509198</v>
      </c>
      <c r="E273">
        <f>_XLL.ENTROPY('simple Brayton Cycle'!$A$10,"PT",'T-s diagr. data'!$E$5,'T-s diagr. data'!B273-273.15)</f>
        <v>7.4587131002896125</v>
      </c>
    </row>
    <row r="274" spans="2:5" ht="15">
      <c r="B274">
        <f t="shared" si="21"/>
        <v>782</v>
      </c>
      <c r="C274">
        <f>_XLL.ENTROPY('simple Brayton Cycle'!$A$10,"PT",'T-s diagr. data'!$C$5,'T-s diagr. data'!B274-273.15)</f>
        <v>7.855672548157234</v>
      </c>
      <c r="E274">
        <f>_XLL.ENTROPY('simple Brayton Cycle'!$A$10,"PT",'T-s diagr. data'!$E$5,'T-s diagr. data'!B274-273.15)</f>
        <v>7.461512935937651</v>
      </c>
    </row>
    <row r="275" spans="2:5" ht="15">
      <c r="B275">
        <f t="shared" si="21"/>
        <v>784</v>
      </c>
      <c r="C275">
        <f>_XLL.ENTROPY('simple Brayton Cycle'!$A$10,"PT",'T-s diagr. data'!$C$5,'T-s diagr. data'!B275-273.15)</f>
        <v>7.8584664554870765</v>
      </c>
      <c r="E275">
        <f>_XLL.ENTROPY('simple Brayton Cycle'!$A$10,"PT",'T-s diagr. data'!$E$5,'T-s diagr. data'!B275-273.15)</f>
        <v>7.46430684326749</v>
      </c>
    </row>
    <row r="276" spans="2:5" ht="15">
      <c r="B276">
        <f t="shared" si="21"/>
        <v>786</v>
      </c>
      <c r="C276">
        <f>_XLL.ENTROPY('simple Brayton Cycle'!$A$10,"PT",'T-s diagr. data'!$C$5,'T-s diagr. data'!B276-273.15)</f>
        <v>7.861254463636863</v>
      </c>
      <c r="E276">
        <f>_XLL.ENTROPY('simple Brayton Cycle'!$A$10,"PT",'T-s diagr. data'!$E$5,'T-s diagr. data'!B276-273.15)</f>
        <v>7.467094851417278</v>
      </c>
    </row>
    <row r="277" spans="2:5" ht="15">
      <c r="B277">
        <f t="shared" si="21"/>
        <v>788</v>
      </c>
      <c r="C277">
        <f>_XLL.ENTROPY('simple Brayton Cycle'!$A$10,"PT",'T-s diagr. data'!$C$5,'T-s diagr. data'!B277-273.15)</f>
        <v>7.86403660148597</v>
      </c>
      <c r="E277">
        <f>_XLL.ENTROPY('simple Brayton Cycle'!$A$10,"PT",'T-s diagr. data'!$E$5,'T-s diagr. data'!B277-273.15)</f>
        <v>7.469876989266387</v>
      </c>
    </row>
    <row r="278" spans="2:5" ht="15">
      <c r="B278">
        <f t="shared" si="21"/>
        <v>790</v>
      </c>
      <c r="C278">
        <f>_XLL.ENTROPY('simple Brayton Cycle'!$A$10,"PT",'T-s diagr. data'!$C$5,'T-s diagr. data'!B278-273.15)</f>
        <v>7.866812897657704</v>
      </c>
      <c r="E278">
        <f>_XLL.ENTROPY('simple Brayton Cycle'!$A$10,"PT",'T-s diagr. data'!$E$5,'T-s diagr. data'!B278-273.15)</f>
        <v>7.47265328543812</v>
      </c>
    </row>
    <row r="279" spans="2:5" ht="15">
      <c r="B279">
        <f t="shared" si="21"/>
        <v>792</v>
      </c>
      <c r="C279">
        <f>_XLL.ENTROPY('simple Brayton Cycle'!$A$10,"PT",'T-s diagr. data'!$C$5,'T-s diagr. data'!B279-273.15)</f>
        <v>7.869583380521964</v>
      </c>
      <c r="E279">
        <f>_XLL.ENTROPY('simple Brayton Cycle'!$A$10,"PT",'T-s diagr. data'!$E$5,'T-s diagr. data'!B279-273.15)</f>
        <v>7.475423768302377</v>
      </c>
    </row>
    <row r="280" spans="2:5" ht="15">
      <c r="B280">
        <f t="shared" si="21"/>
        <v>794</v>
      </c>
      <c r="C280">
        <f>_XLL.ENTROPY('simple Brayton Cycle'!$A$10,"PT",'T-s diagr. data'!$C$5,'T-s diagr. data'!B280-273.15)</f>
        <v>7.872348078197888</v>
      </c>
      <c r="E280">
        <f>_XLL.ENTROPY('simple Brayton Cycle'!$A$10,"PT",'T-s diagr. data'!$E$5,'T-s diagr. data'!B280-273.15)</f>
        <v>7.4781884659783024</v>
      </c>
    </row>
    <row r="281" spans="2:5" ht="15">
      <c r="B281">
        <f t="shared" si="21"/>
        <v>796</v>
      </c>
      <c r="C281">
        <f>_XLL.ENTROPY('simple Brayton Cycle'!$A$10,"PT",'T-s diagr. data'!$C$5,'T-s diagr. data'!B281-273.15)</f>
        <v>7.875107018556439</v>
      </c>
      <c r="E281">
        <f>_XLL.ENTROPY('simple Brayton Cycle'!$A$10,"PT",'T-s diagr. data'!$E$5,'T-s diagr. data'!B281-273.15)</f>
        <v>7.480947406336854</v>
      </c>
    </row>
    <row r="282" spans="2:5" ht="15">
      <c r="B282">
        <f t="shared" si="21"/>
        <v>798</v>
      </c>
      <c r="C282">
        <f>_XLL.ENTROPY('simple Brayton Cycle'!$A$10,"PT",'T-s diagr. data'!$C$5,'T-s diagr. data'!B282-273.15)</f>
        <v>7.877860229222987</v>
      </c>
      <c r="E282">
        <f>_XLL.ENTROPY('simple Brayton Cycle'!$A$10,"PT",'T-s diagr. data'!$E$5,'T-s diagr. data'!B282-273.15)</f>
        <v>7.483700617003403</v>
      </c>
    </row>
    <row r="283" spans="2:5" ht="15">
      <c r="B283">
        <f t="shared" si="21"/>
        <v>800</v>
      </c>
      <c r="C283">
        <f>_XLL.ENTROPY('simple Brayton Cycle'!$A$10,"PT",'T-s diagr. data'!$C$5,'T-s diagr. data'!B283-273.15)</f>
        <v>7.880607737579832</v>
      </c>
      <c r="E283">
        <f>_XLL.ENTROPY('simple Brayton Cycle'!$A$10,"PT",'T-s diagr. data'!$E$5,'T-s diagr. data'!B283-273.15)</f>
        <v>7.486448125360247</v>
      </c>
    </row>
    <row r="284" spans="2:5" ht="15">
      <c r="B284">
        <f t="shared" si="21"/>
        <v>802</v>
      </c>
      <c r="C284">
        <f>_XLL.ENTROPY('simple Brayton Cycle'!$A$10,"PT",'T-s diagr. data'!$C$5,'T-s diagr. data'!B284-273.15)</f>
        <v>7.883349570768717</v>
      </c>
      <c r="E284">
        <f>_XLL.ENTROPY('simple Brayton Cycle'!$A$10,"PT",'T-s diagr. data'!$E$5,'T-s diagr. data'!B284-273.15)</f>
        <v>7.489189958549133</v>
      </c>
    </row>
    <row r="285" spans="2:5" ht="15">
      <c r="B285">
        <f t="shared" si="21"/>
        <v>804</v>
      </c>
      <c r="C285">
        <f>_XLL.ENTROPY('simple Brayton Cycle'!$A$10,"PT",'T-s diagr. data'!$C$5,'T-s diagr. data'!B285-273.15)</f>
        <v>7.886085755693289</v>
      </c>
      <c r="E285">
        <f>_XLL.ENTROPY('simple Brayton Cycle'!$A$10,"PT",'T-s diagr. data'!$E$5,'T-s diagr. data'!B285-273.15)</f>
        <v>7.491926143473703</v>
      </c>
    </row>
    <row r="286" spans="2:5" ht="15">
      <c r="B286">
        <f t="shared" si="21"/>
        <v>806</v>
      </c>
      <c r="C286">
        <f>_XLL.ENTROPY('simple Brayton Cycle'!$A$10,"PT",'T-s diagr. data'!$C$5,'T-s diagr. data'!B286-273.15)</f>
        <v>7.88881631902155</v>
      </c>
      <c r="E286">
        <f>_XLL.ENTROPY('simple Brayton Cycle'!$A$10,"PT",'T-s diagr. data'!$E$5,'T-s diagr. data'!B286-273.15)</f>
        <v>7.494656706801967</v>
      </c>
    </row>
    <row r="287" spans="2:5" ht="15">
      <c r="B287">
        <f t="shared" si="21"/>
        <v>808</v>
      </c>
      <c r="C287">
        <f>_XLL.ENTROPY('simple Brayton Cycle'!$A$10,"PT",'T-s diagr. data'!$C$5,'T-s diagr. data'!B287-273.15)</f>
        <v>7.891541287188276</v>
      </c>
      <c r="E287">
        <f>_XLL.ENTROPY('simple Brayton Cycle'!$A$10,"PT",'T-s diagr. data'!$E$5,'T-s diagr. data'!B287-273.15)</f>
        <v>7.497381674968693</v>
      </c>
    </row>
    <row r="288" spans="2:5" ht="15">
      <c r="B288">
        <f t="shared" si="21"/>
        <v>810</v>
      </c>
      <c r="C288">
        <f>_XLL.ENTROPY('simple Brayton Cycle'!$A$10,"PT",'T-s diagr. data'!$C$5,'T-s diagr. data'!B288-273.15)</f>
        <v>7.894260686397377</v>
      </c>
      <c r="E288">
        <f>_XLL.ENTROPY('simple Brayton Cycle'!$A$10,"PT",'T-s diagr. data'!$E$5,'T-s diagr. data'!B288-273.15)</f>
        <v>7.5001010741777945</v>
      </c>
    </row>
    <row r="289" spans="2:5" ht="15">
      <c r="B289">
        <f t="shared" si="21"/>
        <v>812</v>
      </c>
      <c r="C289">
        <f>_XLL.ENTROPY('simple Brayton Cycle'!$A$10,"PT",'T-s diagr. data'!$C$5,'T-s diagr. data'!B289-273.15)</f>
        <v>7.896974542624271</v>
      </c>
      <c r="E289">
        <f>_XLL.ENTROPY('simple Brayton Cycle'!$A$10,"PT",'T-s diagr. data'!$E$5,'T-s diagr. data'!B289-273.15)</f>
        <v>7.5028149304046865</v>
      </c>
    </row>
    <row r="290" spans="2:5" ht="15">
      <c r="B290">
        <f t="shared" si="21"/>
        <v>814</v>
      </c>
      <c r="C290">
        <f>_XLL.ENTROPY('simple Brayton Cycle'!$A$10,"PT",'T-s diagr. data'!$C$5,'T-s diagr. data'!B290-273.15)</f>
        <v>7.899682881618187</v>
      </c>
      <c r="E290">
        <f>_XLL.ENTROPY('simple Brayton Cycle'!$A$10,"PT",'T-s diagr. data'!$E$5,'T-s diagr. data'!B290-273.15)</f>
        <v>7.505523269398603</v>
      </c>
    </row>
    <row r="291" spans="2:5" ht="15">
      <c r="B291">
        <f t="shared" si="21"/>
        <v>816</v>
      </c>
      <c r="C291">
        <f>_XLL.ENTROPY('simple Brayton Cycle'!$A$10,"PT",'T-s diagr. data'!$C$5,'T-s diagr. data'!B291-273.15)</f>
        <v>7.902385728904484</v>
      </c>
      <c r="E291">
        <f>_XLL.ENTROPY('simple Brayton Cycle'!$A$10,"PT",'T-s diagr. data'!$E$5,'T-s diagr. data'!B291-273.15)</f>
        <v>7.508226116684901</v>
      </c>
    </row>
    <row r="292" spans="2:5" ht="15">
      <c r="B292">
        <f t="shared" si="21"/>
        <v>818</v>
      </c>
      <c r="C292">
        <f>_XLL.ENTROPY('simple Brayton Cycle'!$A$10,"PT",'T-s diagr. data'!$C$5,'T-s diagr. data'!B292-273.15)</f>
        <v>7.905083109786895</v>
      </c>
      <c r="E292">
        <f>_XLL.ENTROPY('simple Brayton Cycle'!$A$10,"PT",'T-s diagr. data'!$E$5,'T-s diagr. data'!B292-273.15)</f>
        <v>7.510923497567311</v>
      </c>
    </row>
    <row r="293" spans="2:5" ht="15">
      <c r="B293">
        <f t="shared" si="21"/>
        <v>820</v>
      </c>
      <c r="C293">
        <f>_XLL.ENTROPY('simple Brayton Cycle'!$A$10,"PT",'T-s diagr. data'!$C$5,'T-s diagr. data'!B293-273.15)</f>
        <v>7.907775049349786</v>
      </c>
      <c r="E293">
        <f>_XLL.ENTROPY('simple Brayton Cycle'!$A$10,"PT",'T-s diagr. data'!$E$5,'T-s diagr. data'!B293-273.15)</f>
        <v>7.5136154371302</v>
      </c>
    </row>
    <row r="294" spans="2:5" ht="15">
      <c r="B294">
        <f t="shared" si="21"/>
        <v>822</v>
      </c>
      <c r="C294">
        <f>_XLL.ENTROPY('simple Brayton Cycle'!$A$10,"PT",'T-s diagr. data'!$C$5,'T-s diagr. data'!B294-273.15)</f>
        <v>7.910461572460345</v>
      </c>
      <c r="E294">
        <f>_XLL.ENTROPY('simple Brayton Cycle'!$A$10,"PT",'T-s diagr. data'!$E$5,'T-s diagr. data'!B294-273.15)</f>
        <v>7.516301960240761</v>
      </c>
    </row>
    <row r="295" spans="2:5" ht="15">
      <c r="B295">
        <f t="shared" si="21"/>
        <v>824</v>
      </c>
      <c r="C295">
        <f>_XLL.ENTROPY('simple Brayton Cycle'!$A$10,"PT",'T-s diagr. data'!$C$5,'T-s diagr. data'!B295-273.15)</f>
        <v>7.913142703770793</v>
      </c>
      <c r="E295">
        <f>_XLL.ENTROPY('simple Brayton Cycle'!$A$10,"PT",'T-s diagr. data'!$E$5,'T-s diagr. data'!B295-273.15)</f>
        <v>7.518983091551209</v>
      </c>
    </row>
    <row r="296" spans="2:5" ht="15">
      <c r="B296">
        <f t="shared" si="21"/>
        <v>826</v>
      </c>
      <c r="C296">
        <f>_XLL.ENTROPY('simple Brayton Cycle'!$A$10,"PT",'T-s diagr. data'!$C$5,'T-s diagr. data'!B296-273.15)</f>
        <v>7.915818467720522</v>
      </c>
      <c r="E296">
        <f>_XLL.ENTROPY('simple Brayton Cycle'!$A$10,"PT",'T-s diagr. data'!$E$5,'T-s diagr. data'!B296-273.15)</f>
        <v>7.521658855500936</v>
      </c>
    </row>
    <row r="297" spans="2:5" ht="15">
      <c r="B297">
        <f t="shared" si="21"/>
        <v>828</v>
      </c>
      <c r="C297">
        <f>_XLL.ENTROPY('simple Brayton Cycle'!$A$10,"PT",'T-s diagr. data'!$C$5,'T-s diagr. data'!B297-273.15)</f>
        <v>7.918488888538237</v>
      </c>
      <c r="E297">
        <f>_XLL.ENTROPY('simple Brayton Cycle'!$A$10,"PT",'T-s diagr. data'!$E$5,'T-s diagr. data'!B297-273.15)</f>
        <v>7.524329276318655</v>
      </c>
    </row>
    <row r="298" spans="2:5" ht="15">
      <c r="B298">
        <f t="shared" si="21"/>
        <v>830</v>
      </c>
      <c r="C298">
        <f>_XLL.ENTROPY('simple Brayton Cycle'!$A$10,"PT",'T-s diagr. data'!$C$5,'T-s diagr. data'!B298-273.15)</f>
        <v>7.921153990244065</v>
      </c>
      <c r="E298">
        <f>_XLL.ENTROPY('simple Brayton Cycle'!$A$10,"PT",'T-s diagr. data'!$E$5,'T-s diagr. data'!B298-273.15)</f>
        <v>7.526994378024478</v>
      </c>
    </row>
    <row r="299" spans="2:5" ht="15">
      <c r="B299">
        <f t="shared" si="21"/>
        <v>832</v>
      </c>
      <c r="C299">
        <f>_XLL.ENTROPY('simple Brayton Cycle'!$A$10,"PT",'T-s diagr. data'!$C$5,'T-s diagr. data'!B299-273.15)</f>
        <v>7.923813796651622</v>
      </c>
      <c r="E299">
        <f>_XLL.ENTROPY('simple Brayton Cycle'!$A$10,"PT",'T-s diagr. data'!$E$5,'T-s diagr. data'!B299-273.15)</f>
        <v>7.529654184432038</v>
      </c>
    </row>
    <row r="300" spans="2:5" ht="15">
      <c r="B300">
        <f t="shared" si="21"/>
        <v>834</v>
      </c>
      <c r="C300">
        <f>_XLL.ENTROPY('simple Brayton Cycle'!$A$10,"PT",'T-s diagr. data'!$C$5,'T-s diagr. data'!B300-273.15)</f>
        <v>7.926468331370094</v>
      </c>
      <c r="E300">
        <f>_XLL.ENTROPY('simple Brayton Cycle'!$A$10,"PT",'T-s diagr. data'!$E$5,'T-s diagr. data'!B300-273.15)</f>
        <v>7.532308719150509</v>
      </c>
    </row>
    <row r="301" spans="2:5" ht="15">
      <c r="B301">
        <f t="shared" si="21"/>
        <v>836</v>
      </c>
      <c r="C301">
        <f>_XLL.ENTROPY('simple Brayton Cycle'!$A$10,"PT",'T-s diagr. data'!$C$5,'T-s diagr. data'!B301-273.15)</f>
        <v>7.929117617806238</v>
      </c>
      <c r="E301">
        <f>_XLL.ENTROPY('simple Brayton Cycle'!$A$10,"PT",'T-s diagr. data'!$E$5,'T-s diagr. data'!B301-273.15)</f>
        <v>7.534958005586654</v>
      </c>
    </row>
    <row r="302" spans="2:5" ht="15">
      <c r="B302">
        <f t="shared" si="21"/>
        <v>838</v>
      </c>
      <c r="C302">
        <f>_XLL.ENTROPY('simple Brayton Cycle'!$A$10,"PT",'T-s diagr. data'!$C$5,'T-s diagr. data'!B302-273.15)</f>
        <v>7.931761679166423</v>
      </c>
      <c r="E302">
        <f>_XLL.ENTROPY('simple Brayton Cycle'!$A$10,"PT",'T-s diagr. data'!$E$5,'T-s diagr. data'!B302-273.15)</f>
        <v>7.537602066946837</v>
      </c>
    </row>
    <row r="303" spans="2:5" ht="15">
      <c r="B303">
        <f t="shared" si="21"/>
        <v>840</v>
      </c>
      <c r="C303">
        <f>_XLL.ENTROPY('simple Brayton Cycle'!$A$10,"PT",'T-s diagr. data'!$C$5,'T-s diagr. data'!B303-273.15)</f>
        <v>7.934400538458581</v>
      </c>
      <c r="E303">
        <f>_XLL.ENTROPY('simple Brayton Cycle'!$A$10,"PT",'T-s diagr. data'!$E$5,'T-s diagr. data'!B303-273.15)</f>
        <v>7.540240926238996</v>
      </c>
    </row>
    <row r="304" spans="2:5" ht="15">
      <c r="B304">
        <f t="shared" si="21"/>
        <v>842</v>
      </c>
      <c r="C304">
        <f>_XLL.ENTROPY('simple Brayton Cycle'!$A$10,"PT",'T-s diagr. data'!$C$5,'T-s diagr. data'!B304-273.15)</f>
        <v>7.937034218494193</v>
      </c>
      <c r="E304">
        <f>_XLL.ENTROPY('simple Brayton Cycle'!$A$10,"PT",'T-s diagr. data'!$E$5,'T-s diagr. data'!B304-273.15)</f>
        <v>7.542874606274609</v>
      </c>
    </row>
    <row r="305" spans="2:5" ht="15">
      <c r="B305">
        <f t="shared" si="21"/>
        <v>844</v>
      </c>
      <c r="C305">
        <f>_XLL.ENTROPY('simple Brayton Cycle'!$A$10,"PT",'T-s diagr. data'!$C$5,'T-s diagr. data'!B305-273.15)</f>
        <v>7.939662741890211</v>
      </c>
      <c r="E305">
        <f>_XLL.ENTROPY('simple Brayton Cycle'!$A$10,"PT",'T-s diagr. data'!$E$5,'T-s diagr. data'!B305-273.15)</f>
        <v>7.545503129670626</v>
      </c>
    </row>
    <row r="306" spans="2:5" ht="15">
      <c r="B306">
        <f t="shared" si="21"/>
        <v>846</v>
      </c>
      <c r="C306">
        <f>_XLL.ENTROPY('simple Brayton Cycle'!$A$10,"PT",'T-s diagr. data'!$C$5,'T-s diagr. data'!B306-273.15)</f>
        <v>7.942286131070976</v>
      </c>
      <c r="E306">
        <f>_XLL.ENTROPY('simple Brayton Cycle'!$A$10,"PT",'T-s diagr. data'!$E$5,'T-s diagr. data'!B306-273.15)</f>
        <v>7.54812651885139</v>
      </c>
    </row>
    <row r="307" spans="2:5" ht="15">
      <c r="B307">
        <f t="shared" si="21"/>
        <v>848</v>
      </c>
      <c r="C307">
        <f>_XLL.ENTROPY('simple Brayton Cycle'!$A$10,"PT",'T-s diagr. data'!$C$5,'T-s diagr. data'!B307-273.15)</f>
        <v>7.944904408270108</v>
      </c>
      <c r="E307">
        <f>_XLL.ENTROPY('simple Brayton Cycle'!$A$10,"PT",'T-s diagr. data'!$E$5,'T-s diagr. data'!B307-273.15)</f>
        <v>7.550744796050525</v>
      </c>
    </row>
    <row r="308" spans="2:5" ht="15">
      <c r="B308">
        <f t="shared" si="21"/>
        <v>850</v>
      </c>
      <c r="C308">
        <f>_XLL.ENTROPY('simple Brayton Cycle'!$A$10,"PT",'T-s diagr. data'!$C$5,'T-s diagr. data'!B308-273.15)</f>
        <v>7.947517595532382</v>
      </c>
      <c r="E308">
        <f>_XLL.ENTROPY('simple Brayton Cycle'!$A$10,"PT",'T-s diagr. data'!$E$5,'T-s diagr. data'!B308-273.15)</f>
        <v>7.5533579833127975</v>
      </c>
    </row>
    <row r="309" spans="2:5" ht="15">
      <c r="B309">
        <f t="shared" si="21"/>
        <v>852</v>
      </c>
      <c r="C309">
        <f>_XLL.ENTROPY('simple Brayton Cycle'!$A$10,"PT",'T-s diagr. data'!$C$5,'T-s diagr. data'!B309-273.15)</f>
        <v>7.950125714715559</v>
      </c>
      <c r="E309">
        <f>_XLL.ENTROPY('simple Brayton Cycle'!$A$10,"PT",'T-s diagr. data'!$E$5,'T-s diagr. data'!B309-273.15)</f>
        <v>7.555966102495975</v>
      </c>
    </row>
    <row r="310" spans="2:5" ht="15">
      <c r="B310">
        <f t="shared" si="21"/>
        <v>854</v>
      </c>
      <c r="C310">
        <f>_XLL.ENTROPY('simple Brayton Cycle'!$A$10,"PT",'T-s diagr. data'!$C$5,'T-s diagr. data'!B310-273.15)</f>
        <v>7.952728787492232</v>
      </c>
      <c r="E310">
        <f>_XLL.ENTROPY('simple Brayton Cycle'!$A$10,"PT",'T-s diagr. data'!$E$5,'T-s diagr. data'!B310-273.15)</f>
        <v>7.558569175272648</v>
      </c>
    </row>
    <row r="311" spans="2:5" ht="15">
      <c r="B311">
        <f t="shared" si="21"/>
        <v>856</v>
      </c>
      <c r="C311">
        <f>_XLL.ENTROPY('simple Brayton Cycle'!$A$10,"PT",'T-s diagr. data'!$C$5,'T-s diagr. data'!B311-273.15)</f>
        <v>7.955326835351611</v>
      </c>
      <c r="E311">
        <f>_XLL.ENTROPY('simple Brayton Cycle'!$A$10,"PT",'T-s diagr. data'!$E$5,'T-s diagr. data'!B311-273.15)</f>
        <v>7.561167223132027</v>
      </c>
    </row>
    <row r="312" spans="2:5" ht="15">
      <c r="B312">
        <f t="shared" si="21"/>
        <v>858</v>
      </c>
      <c r="C312">
        <f>_XLL.ENTROPY('simple Brayton Cycle'!$A$10,"PT",'T-s diagr. data'!$C$5,'T-s diagr. data'!B312-273.15)</f>
        <v>7.957919879601322</v>
      </c>
      <c r="E312">
        <f>_XLL.ENTROPY('simple Brayton Cycle'!$A$10,"PT",'T-s diagr. data'!$E$5,'T-s diagr. data'!B312-273.15)</f>
        <v>7.5637602673817375</v>
      </c>
    </row>
    <row r="313" spans="2:5" ht="15">
      <c r="B313">
        <f t="shared" si="21"/>
        <v>860</v>
      </c>
      <c r="C313">
        <f>_XLL.ENTROPY('simple Brayton Cycle'!$A$10,"PT",'T-s diagr. data'!$C$5,'T-s diagr. data'!B313-273.15)</f>
        <v>7.960507941369151</v>
      </c>
      <c r="E313">
        <f>_XLL.ENTROPY('simple Brayton Cycle'!$A$10,"PT",'T-s diagr. data'!$E$5,'T-s diagr. data'!B313-273.15)</f>
        <v>7.566348329149567</v>
      </c>
    </row>
    <row r="314" spans="2:5" ht="15">
      <c r="B314">
        <f t="shared" si="21"/>
        <v>862</v>
      </c>
      <c r="C314">
        <f>_XLL.ENTROPY('simple Brayton Cycle'!$A$10,"PT",'T-s diagr. data'!$C$5,'T-s diagr. data'!B314-273.15)</f>
        <v>7.963091041604808</v>
      </c>
      <c r="E314">
        <f>_XLL.ENTROPY('simple Brayton Cycle'!$A$10,"PT",'T-s diagr. data'!$E$5,'T-s diagr. data'!B314-273.15)</f>
        <v>7.5689314293852235</v>
      </c>
    </row>
    <row r="315" spans="2:5" ht="15">
      <c r="B315">
        <f t="shared" si="21"/>
        <v>864</v>
      </c>
      <c r="C315">
        <f>_XLL.ENTROPY('simple Brayton Cycle'!$A$10,"PT",'T-s diagr. data'!$C$5,'T-s diagr. data'!B315-273.15)</f>
        <v>7.965669201081628</v>
      </c>
      <c r="E315">
        <f>_XLL.ENTROPY('simple Brayton Cycle'!$A$10,"PT",'T-s diagr. data'!$E$5,'T-s diagr. data'!B315-273.15)</f>
        <v>7.5715095888620425</v>
      </c>
    </row>
    <row r="316" spans="2:5" ht="15">
      <c r="B316">
        <f t="shared" si="21"/>
        <v>866</v>
      </c>
      <c r="C316">
        <f>_XLL.ENTROPY('simple Brayton Cycle'!$A$10,"PT",'T-s diagr. data'!$C$5,'T-s diagr. data'!B316-273.15)</f>
        <v>7.968242440398283</v>
      </c>
      <c r="E316">
        <f>_XLL.ENTROPY('simple Brayton Cycle'!$A$10,"PT",'T-s diagr. data'!$E$5,'T-s diagr. data'!B316-273.15)</f>
        <v>7.574082828178699</v>
      </c>
    </row>
    <row r="317" spans="2:5" ht="15">
      <c r="B317">
        <f t="shared" si="21"/>
        <v>868</v>
      </c>
      <c r="C317">
        <f>_XLL.ENTROPY('simple Brayton Cycle'!$A$10,"PT",'T-s diagr. data'!$C$5,'T-s diagr. data'!B317-273.15)</f>
        <v>7.970810779980467</v>
      </c>
      <c r="E317">
        <f>_XLL.ENTROPY('simple Brayton Cycle'!$A$10,"PT",'T-s diagr. data'!$E$5,'T-s diagr. data'!B317-273.15)</f>
        <v>7.5766511677608825</v>
      </c>
    </row>
    <row r="318" spans="2:5" ht="15">
      <c r="B318">
        <f t="shared" si="21"/>
        <v>870</v>
      </c>
      <c r="C318">
        <f>_XLL.ENTROPY('simple Brayton Cycle'!$A$10,"PT",'T-s diagr. data'!$C$5,'T-s diagr. data'!B318-273.15)</f>
        <v>7.9733742400825465</v>
      </c>
      <c r="E318">
        <f>_XLL.ENTROPY('simple Brayton Cycle'!$A$10,"PT",'T-s diagr. data'!$E$5,'T-s diagr. data'!B318-273.15)</f>
        <v>7.579214627862964</v>
      </c>
    </row>
    <row r="319" spans="2:5" ht="15">
      <c r="B319">
        <f t="shared" si="21"/>
        <v>872</v>
      </c>
      <c r="C319">
        <f>_XLL.ENTROPY('simple Brayton Cycle'!$A$10,"PT",'T-s diagr. data'!$C$5,'T-s diagr. data'!B319-273.15)</f>
        <v>7.975932840789218</v>
      </c>
      <c r="E319">
        <f>_XLL.ENTROPY('simple Brayton Cycle'!$A$10,"PT",'T-s diagr. data'!$E$5,'T-s diagr. data'!B319-273.15)</f>
        <v>7.5817732285696335</v>
      </c>
    </row>
    <row r="320" spans="2:5" ht="15">
      <c r="B320">
        <f t="shared" si="21"/>
        <v>874</v>
      </c>
      <c r="C320">
        <f>_XLL.ENTROPY('simple Brayton Cycle'!$A$10,"PT",'T-s diagr. data'!$C$5,'T-s diagr. data'!B320-273.15)</f>
        <v>7.978486602017123</v>
      </c>
      <c r="E320">
        <f>_XLL.ENTROPY('simple Brayton Cycle'!$A$10,"PT",'T-s diagr. data'!$E$5,'T-s diagr. data'!B320-273.15)</f>
        <v>7.584326989797537</v>
      </c>
    </row>
    <row r="321" spans="2:5" ht="15">
      <c r="B321">
        <f t="shared" si="21"/>
        <v>876</v>
      </c>
      <c r="C321">
        <f>_XLL.ENTROPY('simple Brayton Cycle'!$A$10,"PT",'T-s diagr. data'!$C$5,'T-s diagr. data'!B321-273.15)</f>
        <v>7.981035543516455</v>
      </c>
      <c r="E321">
        <f>_XLL.ENTROPY('simple Brayton Cycle'!$A$10,"PT",'T-s diagr. data'!$E$5,'T-s diagr. data'!B321-273.15)</f>
        <v>7.586875931296872</v>
      </c>
    </row>
    <row r="322" spans="2:5" ht="15">
      <c r="B322">
        <f t="shared" si="21"/>
        <v>878</v>
      </c>
      <c r="C322">
        <f>_XLL.ENTROPY('simple Brayton Cycle'!$A$10,"PT",'T-s diagr. data'!$C$5,'T-s diagr. data'!B322-273.15)</f>
        <v>7.983579684872556</v>
      </c>
      <c r="E322">
        <f>_XLL.ENTROPY('simple Brayton Cycle'!$A$10,"PT",'T-s diagr. data'!$E$5,'T-s diagr. data'!B322-273.15)</f>
        <v>7.589420072652971</v>
      </c>
    </row>
    <row r="323" spans="2:5" ht="15">
      <c r="B323">
        <f t="shared" si="21"/>
        <v>880</v>
      </c>
      <c r="C323">
        <f>_XLL.ENTROPY('simple Brayton Cycle'!$A$10,"PT",'T-s diagr. data'!$C$5,'T-s diagr. data'!B323-273.15)</f>
        <v>7.98611904550747</v>
      </c>
      <c r="E323">
        <f>_XLL.ENTROPY('simple Brayton Cycle'!$A$10,"PT",'T-s diagr. data'!$E$5,'T-s diagr. data'!B323-273.15)</f>
        <v>7.591959433287886</v>
      </c>
    </row>
    <row r="324" spans="2:5" ht="15">
      <c r="B324">
        <f t="shared" si="21"/>
        <v>882</v>
      </c>
      <c r="C324">
        <f>_XLL.ENTROPY('simple Brayton Cycle'!$A$10,"PT",'T-s diagr. data'!$C$5,'T-s diagr. data'!B324-273.15)</f>
        <v>7.988653644681519</v>
      </c>
      <c r="E324">
        <f>_XLL.ENTROPY('simple Brayton Cycle'!$A$10,"PT",'T-s diagr. data'!$E$5,'T-s diagr. data'!B324-273.15)</f>
        <v>7.5944940324619346</v>
      </c>
    </row>
    <row r="325" spans="2:5" ht="15">
      <c r="B325">
        <f t="shared" si="21"/>
        <v>884</v>
      </c>
      <c r="C325">
        <f>_XLL.ENTROPY('simple Brayton Cycle'!$A$10,"PT",'T-s diagr. data'!$C$5,'T-s diagr. data'!B325-273.15)</f>
        <v>7.991183501494809</v>
      </c>
      <c r="E325">
        <f>_XLL.ENTROPY('simple Brayton Cycle'!$A$10,"PT",'T-s diagr. data'!$E$5,'T-s diagr. data'!B325-273.15)</f>
        <v>7.597023889275225</v>
      </c>
    </row>
    <row r="326" spans="2:5" ht="15">
      <c r="B326">
        <f t="shared" si="21"/>
        <v>886</v>
      </c>
      <c r="C326">
        <f>_XLL.ENTROPY('simple Brayton Cycle'!$A$10,"PT",'T-s diagr. data'!$C$5,'T-s diagr. data'!B326-273.15)</f>
        <v>7.993708634888769</v>
      </c>
      <c r="E326">
        <f>_XLL.ENTROPY('simple Brayton Cycle'!$A$10,"PT",'T-s diagr. data'!$E$5,'T-s diagr. data'!B326-273.15)</f>
        <v>7.599549022669184</v>
      </c>
    </row>
    <row r="327" spans="2:5" ht="15">
      <c r="B327">
        <f t="shared" si="21"/>
        <v>888</v>
      </c>
      <c r="C327">
        <f>_XLL.ENTROPY('simple Brayton Cycle'!$A$10,"PT",'T-s diagr. data'!$C$5,'T-s diagr. data'!B327-273.15)</f>
        <v>7.996229063647643</v>
      </c>
      <c r="E327">
        <f>_XLL.ENTROPY('simple Brayton Cycle'!$A$10,"PT",'T-s diagr. data'!$E$5,'T-s diagr. data'!B327-273.15)</f>
        <v>7.602069451428058</v>
      </c>
    </row>
    <row r="328" spans="2:5" ht="15">
      <c r="B328">
        <f t="shared" si="21"/>
        <v>890</v>
      </c>
      <c r="C328">
        <f>_XLL.ENTROPY('simple Brayton Cycle'!$A$10,"PT",'T-s diagr. data'!$C$5,'T-s diagr. data'!B328-273.15)</f>
        <v>7.998744806399969</v>
      </c>
      <c r="E328">
        <f>_XLL.ENTROPY('simple Brayton Cycle'!$A$10,"PT",'T-s diagr. data'!$E$5,'T-s diagr. data'!B328-273.15)</f>
        <v>7.604585194180386</v>
      </c>
    </row>
    <row r="329" spans="2:5" ht="15">
      <c r="B329">
        <f t="shared" si="21"/>
        <v>892</v>
      </c>
      <c r="C329">
        <f>_XLL.ENTROPY('simple Brayton Cycle'!$A$10,"PT",'T-s diagr. data'!$C$5,'T-s diagr. data'!B329-273.15)</f>
        <v>8.001255881620056</v>
      </c>
      <c r="E329">
        <f>_XLL.ENTROPY('simple Brayton Cycle'!$A$10,"PT",'T-s diagr. data'!$E$5,'T-s diagr. data'!B329-273.15)</f>
        <v>7.607096269400471</v>
      </c>
    </row>
    <row r="330" spans="2:5" ht="15">
      <c r="B330">
        <f aca="true" t="shared" si="22" ref="B330:B393">B329+2</f>
        <v>894</v>
      </c>
      <c r="C330">
        <f>_XLL.ENTROPY('simple Brayton Cycle'!$A$10,"PT",'T-s diagr. data'!$C$5,'T-s diagr. data'!B330-273.15)</f>
        <v>8.00376230762942</v>
      </c>
      <c r="E330">
        <f>_XLL.ENTROPY('simple Brayton Cycle'!$A$10,"PT",'T-s diagr. data'!$E$5,'T-s diagr. data'!B330-273.15)</f>
        <v>7.609602695409836</v>
      </c>
    </row>
    <row r="331" spans="2:5" ht="15">
      <c r="B331">
        <f t="shared" si="22"/>
        <v>896</v>
      </c>
      <c r="C331">
        <f>_XLL.ENTROPY('simple Brayton Cycle'!$A$10,"PT",'T-s diagr. data'!$C$5,'T-s diagr. data'!B331-273.15)</f>
        <v>8.006264102598234</v>
      </c>
      <c r="E331">
        <f>_XLL.ENTROPY('simple Brayton Cycle'!$A$10,"PT",'T-s diagr. data'!$E$5,'T-s diagr. data'!B331-273.15)</f>
        <v>7.612104490378649</v>
      </c>
    </row>
    <row r="332" spans="2:5" ht="15">
      <c r="B332">
        <f t="shared" si="22"/>
        <v>898</v>
      </c>
      <c r="C332">
        <f>_XLL.ENTROPY('simple Brayton Cycle'!$A$10,"PT",'T-s diagr. data'!$C$5,'T-s diagr. data'!B332-273.15)</f>
        <v>8.008761284546729</v>
      </c>
      <c r="E332">
        <f>_XLL.ENTROPY('simple Brayton Cycle'!$A$10,"PT",'T-s diagr. data'!$E$5,'T-s diagr. data'!B332-273.15)</f>
        <v>7.614601672327144</v>
      </c>
    </row>
    <row r="333" spans="2:5" ht="15">
      <c r="B333">
        <f t="shared" si="22"/>
        <v>900</v>
      </c>
      <c r="C333">
        <f>_XLL.ENTROPY('simple Brayton Cycle'!$A$10,"PT",'T-s diagr. data'!$C$5,'T-s diagr. data'!B333-273.15)</f>
        <v>8.01125387134661</v>
      </c>
      <c r="E333">
        <f>_XLL.ENTROPY('simple Brayton Cycle'!$A$10,"PT",'T-s diagr. data'!$E$5,'T-s diagr. data'!B333-273.15)</f>
        <v>7.617094259127025</v>
      </c>
    </row>
    <row r="334" spans="2:5" ht="15">
      <c r="B334">
        <f t="shared" si="22"/>
        <v>902</v>
      </c>
      <c r="C334">
        <f>_XLL.ENTROPY('simple Brayton Cycle'!$A$10,"PT",'T-s diagr. data'!$C$5,'T-s diagr. data'!B334-273.15)</f>
        <v>8.013741880722433</v>
      </c>
      <c r="E334">
        <f>_XLL.ENTROPY('simple Brayton Cycle'!$A$10,"PT",'T-s diagr. data'!$E$5,'T-s diagr. data'!B334-273.15)</f>
        <v>7.619582268502849</v>
      </c>
    </row>
    <row r="335" spans="2:5" ht="15">
      <c r="B335">
        <f t="shared" si="22"/>
        <v>904</v>
      </c>
      <c r="C335">
        <f>_XLL.ENTROPY('simple Brayton Cycle'!$A$10,"PT",'T-s diagr. data'!$C$5,'T-s diagr. data'!B335-273.15)</f>
        <v>8.016225330252984</v>
      </c>
      <c r="E335">
        <f>_XLL.ENTROPY('simple Brayton Cycle'!$A$10,"PT",'T-s diagr. data'!$E$5,'T-s diagr. data'!B335-273.15)</f>
        <v>7.622065718033399</v>
      </c>
    </row>
    <row r="336" spans="2:5" ht="15">
      <c r="B336">
        <f t="shared" si="22"/>
        <v>906</v>
      </c>
      <c r="C336">
        <f>_XLL.ENTROPY('simple Brayton Cycle'!$A$10,"PT",'T-s diagr. data'!$C$5,'T-s diagr. data'!B336-273.15)</f>
        <v>8.01870423737263</v>
      </c>
      <c r="E336">
        <f>_XLL.ENTROPY('simple Brayton Cycle'!$A$10,"PT",'T-s diagr. data'!$E$5,'T-s diagr. data'!B336-273.15)</f>
        <v>7.624544625153046</v>
      </c>
    </row>
    <row r="337" spans="2:5" ht="15">
      <c r="B337">
        <f t="shared" si="22"/>
        <v>908</v>
      </c>
      <c r="C337">
        <f>_XLL.ENTROPY('simple Brayton Cycle'!$A$10,"PT",'T-s diagr. data'!$C$5,'T-s diagr. data'!B337-273.15)</f>
        <v>8.021178619372654</v>
      </c>
      <c r="E337">
        <f>_XLL.ENTROPY('simple Brayton Cycle'!$A$10,"PT",'T-s diagr. data'!$E$5,'T-s diagr. data'!B337-273.15)</f>
        <v>7.62701900715307</v>
      </c>
    </row>
    <row r="338" spans="2:5" ht="15">
      <c r="B338">
        <f t="shared" si="22"/>
        <v>910</v>
      </c>
      <c r="C338">
        <f>_XLL.ENTROPY('simple Brayton Cycle'!$A$10,"PT",'T-s diagr. data'!$C$5,'T-s diagr. data'!B338-273.15)</f>
        <v>8.023648493402597</v>
      </c>
      <c r="E338">
        <f>_XLL.ENTROPY('simple Brayton Cycle'!$A$10,"PT",'T-s diagr. data'!$E$5,'T-s diagr. data'!B338-273.15)</f>
        <v>7.629488881183013</v>
      </c>
    </row>
    <row r="339" spans="2:5" ht="15">
      <c r="B339">
        <f t="shared" si="22"/>
        <v>912</v>
      </c>
      <c r="C339">
        <f>_XLL.ENTROPY('simple Brayton Cycle'!$A$10,"PT",'T-s diagr. data'!$C$5,'T-s diagr. data'!B339-273.15)</f>
        <v>8.026113876471557</v>
      </c>
      <c r="E339">
        <f>_XLL.ENTROPY('simple Brayton Cycle'!$A$10,"PT",'T-s diagr. data'!$E$5,'T-s diagr. data'!B339-273.15)</f>
        <v>7.631954264251974</v>
      </c>
    </row>
    <row r="340" spans="2:5" ht="15">
      <c r="B340">
        <f t="shared" si="22"/>
        <v>914</v>
      </c>
      <c r="C340">
        <f>_XLL.ENTROPY('simple Brayton Cycle'!$A$10,"PT",'T-s diagr. data'!$C$5,'T-s diagr. data'!B340-273.15)</f>
        <v>8.028574785449496</v>
      </c>
      <c r="E340">
        <f>_XLL.ENTROPY('simple Brayton Cycle'!$A$10,"PT",'T-s diagr. data'!$E$5,'T-s diagr. data'!B340-273.15)</f>
        <v>7.63441517322991</v>
      </c>
    </row>
    <row r="341" spans="2:5" ht="15">
      <c r="B341">
        <f t="shared" si="22"/>
        <v>916</v>
      </c>
      <c r="C341">
        <f>_XLL.ENTROPY('simple Brayton Cycle'!$A$10,"PT",'T-s diagr. data'!$C$5,'T-s diagr. data'!B341-273.15)</f>
        <v>8.031031237068506</v>
      </c>
      <c r="E341">
        <f>_XLL.ENTROPY('simple Brayton Cycle'!$A$10,"PT",'T-s diagr. data'!$E$5,'T-s diagr. data'!B341-273.15)</f>
        <v>7.636871624848921</v>
      </c>
    </row>
    <row r="342" spans="2:5" ht="15">
      <c r="B342">
        <f t="shared" si="22"/>
        <v>918</v>
      </c>
      <c r="C342">
        <f>_XLL.ENTROPY('simple Brayton Cycle'!$A$10,"PT",'T-s diagr. data'!$C$5,'T-s diagr. data'!B342-273.15)</f>
        <v>8.033483247924096</v>
      </c>
      <c r="E342">
        <f>_XLL.ENTROPY('simple Brayton Cycle'!$A$10,"PT",'T-s diagr. data'!$E$5,'T-s diagr. data'!B342-273.15)</f>
        <v>7.639323635704511</v>
      </c>
    </row>
    <row r="343" spans="2:5" ht="15">
      <c r="B343">
        <f t="shared" si="22"/>
        <v>920</v>
      </c>
      <c r="C343">
        <f>_XLL.ENTROPY('simple Brayton Cycle'!$A$10,"PT",'T-s diagr. data'!$C$5,'T-s diagr. data'!B343-273.15)</f>
        <v>8.035930834476442</v>
      </c>
      <c r="E343">
        <f>_XLL.ENTROPY('simple Brayton Cycle'!$A$10,"PT",'T-s diagr. data'!$E$5,'T-s diagr. data'!B343-273.15)</f>
        <v>7.641771222256859</v>
      </c>
    </row>
    <row r="344" spans="2:5" ht="15">
      <c r="B344">
        <f t="shared" si="22"/>
        <v>922</v>
      </c>
      <c r="C344">
        <f>_XLL.ENTROPY('simple Brayton Cycle'!$A$10,"PT",'T-s diagr. data'!$C$5,'T-s diagr. data'!B344-273.15)</f>
        <v>8.038374013051627</v>
      </c>
      <c r="E344">
        <f>_XLL.ENTROPY('simple Brayton Cycle'!$A$10,"PT",'T-s diagr. data'!$E$5,'T-s diagr. data'!B344-273.15)</f>
        <v>7.644214400832045</v>
      </c>
    </row>
    <row r="345" spans="2:5" ht="15">
      <c r="B345">
        <f t="shared" si="22"/>
        <v>924</v>
      </c>
      <c r="C345">
        <f>_XLL.ENTROPY('simple Brayton Cycle'!$A$10,"PT",'T-s diagr. data'!$C$5,'T-s diagr. data'!B345-273.15)</f>
        <v>8.040812799842872</v>
      </c>
      <c r="E345">
        <f>_XLL.ENTROPY('simple Brayton Cycle'!$A$10,"PT",'T-s diagr. data'!$E$5,'T-s diagr. data'!B345-273.15)</f>
        <v>7.646653187623287</v>
      </c>
    </row>
    <row r="346" spans="2:5" ht="15">
      <c r="B346">
        <f t="shared" si="22"/>
        <v>926</v>
      </c>
      <c r="C346">
        <f>_XLL.ENTROPY('simple Brayton Cycle'!$A$10,"PT",'T-s diagr. data'!$C$5,'T-s diagr. data'!B346-273.15)</f>
        <v>8.04324721091174</v>
      </c>
      <c r="E346">
        <f>_XLL.ENTROPY('simple Brayton Cycle'!$A$10,"PT",'T-s diagr. data'!$E$5,'T-s diagr. data'!B346-273.15)</f>
        <v>7.649087598692157</v>
      </c>
    </row>
    <row r="347" spans="2:5" ht="15">
      <c r="B347">
        <f t="shared" si="22"/>
        <v>928</v>
      </c>
      <c r="C347">
        <f>_XLL.ENTROPY('simple Brayton Cycle'!$A$10,"PT",'T-s diagr. data'!$C$5,'T-s diagr. data'!B347-273.15)</f>
        <v>8.04567726218936</v>
      </c>
      <c r="E347">
        <f>_XLL.ENTROPY('simple Brayton Cycle'!$A$10,"PT",'T-s diagr. data'!$E$5,'T-s diagr. data'!B347-273.15)</f>
        <v>7.651517649969772</v>
      </c>
    </row>
    <row r="348" spans="2:5" ht="15">
      <c r="B348">
        <f t="shared" si="22"/>
        <v>930</v>
      </c>
      <c r="C348">
        <f>_XLL.ENTROPY('simple Brayton Cycle'!$A$10,"PT",'T-s diagr. data'!$C$5,'T-s diagr. data'!B348-273.15)</f>
        <v>8.048102969477588</v>
      </c>
      <c r="E348">
        <f>_XLL.ENTROPY('simple Brayton Cycle'!$A$10,"PT",'T-s diagr. data'!$E$5,'T-s diagr. data'!B348-273.15)</f>
        <v>7.653943357258003</v>
      </c>
    </row>
    <row r="349" spans="2:5" ht="15">
      <c r="B349">
        <f t="shared" si="22"/>
        <v>932</v>
      </c>
      <c r="C349">
        <f>_XLL.ENTROPY('simple Brayton Cycle'!$A$10,"PT",'T-s diagr. data'!$C$5,'T-s diagr. data'!B349-273.15)</f>
        <v>8.05052434845021</v>
      </c>
      <c r="E349">
        <f>_XLL.ENTROPY('simple Brayton Cycle'!$A$10,"PT",'T-s diagr. data'!$E$5,'T-s diagr. data'!B349-273.15)</f>
        <v>7.6563647362306275</v>
      </c>
    </row>
    <row r="350" spans="2:5" ht="15">
      <c r="B350">
        <f t="shared" si="22"/>
        <v>934</v>
      </c>
      <c r="C350">
        <f>_XLL.ENTROPY('simple Brayton Cycle'!$A$10,"PT",'T-s diagr. data'!$C$5,'T-s diagr. data'!B350-273.15)</f>
        <v>8.052941414654095</v>
      </c>
      <c r="E350">
        <f>_XLL.ENTROPY('simple Brayton Cycle'!$A$10,"PT",'T-s diagr. data'!$E$5,'T-s diagr. data'!B350-273.15)</f>
        <v>7.658781802434509</v>
      </c>
    </row>
    <row r="351" spans="2:5" ht="15">
      <c r="B351">
        <f t="shared" si="22"/>
        <v>936</v>
      </c>
      <c r="C351">
        <f>_XLL.ENTROPY('simple Brayton Cycle'!$A$10,"PT",'T-s diagr. data'!$C$5,'T-s diagr. data'!B351-273.15)</f>
        <v>8.055354183510328</v>
      </c>
      <c r="E351">
        <f>_XLL.ENTROPY('simple Brayton Cycle'!$A$10,"PT",'T-s diagr. data'!$E$5,'T-s diagr. data'!B351-273.15)</f>
        <v>7.6611945712907445</v>
      </c>
    </row>
    <row r="352" spans="2:5" ht="15">
      <c r="B352">
        <f t="shared" si="22"/>
        <v>938</v>
      </c>
      <c r="C352">
        <f>_XLL.ENTROPY('simple Brayton Cycle'!$A$10,"PT",'T-s diagr. data'!$C$5,'T-s diagr. data'!B352-273.15)</f>
        <v>8.057762670315388</v>
      </c>
      <c r="E352">
        <f>_XLL.ENTROPY('simple Brayton Cycle'!$A$10,"PT",'T-s diagr. data'!$E$5,'T-s diagr. data'!B352-273.15)</f>
        <v>7.663603058095803</v>
      </c>
    </row>
    <row r="353" spans="2:5" ht="15">
      <c r="B353">
        <f t="shared" si="22"/>
        <v>940</v>
      </c>
      <c r="C353">
        <f>_XLL.ENTROPY('simple Brayton Cycle'!$A$10,"PT",'T-s diagr. data'!$C$5,'T-s diagr. data'!B353-273.15)</f>
        <v>8.060166890242234</v>
      </c>
      <c r="E353">
        <f>_XLL.ENTROPY('simple Brayton Cycle'!$A$10,"PT",'T-s diagr. data'!$E$5,'T-s diagr. data'!B353-273.15)</f>
        <v>7.66600727802265</v>
      </c>
    </row>
    <row r="354" spans="2:5" ht="15">
      <c r="B354">
        <f t="shared" si="22"/>
        <v>942</v>
      </c>
      <c r="C354">
        <f>_XLL.ENTROPY('simple Brayton Cycle'!$A$10,"PT",'T-s diagr. data'!$C$5,'T-s diagr. data'!B354-273.15)</f>
        <v>8.062566858341446</v>
      </c>
      <c r="E354">
        <f>_XLL.ENTROPY('simple Brayton Cycle'!$A$10,"PT",'T-s diagr. data'!$E$5,'T-s diagr. data'!B354-273.15)</f>
        <v>7.6684072461218635</v>
      </c>
    </row>
    <row r="355" spans="2:5" ht="15">
      <c r="B355">
        <f t="shared" si="22"/>
        <v>944</v>
      </c>
      <c r="C355">
        <f>_XLL.ENTROPY('simple Brayton Cycle'!$A$10,"PT",'T-s diagr. data'!$C$5,'T-s diagr. data'!B355-273.15)</f>
        <v>8.06496258954232</v>
      </c>
      <c r="E355">
        <f>_XLL.ENTROPY('simple Brayton Cycle'!$A$10,"PT",'T-s diagr. data'!$E$5,'T-s diagr. data'!B355-273.15)</f>
        <v>7.6708029773227375</v>
      </c>
    </row>
    <row r="356" spans="2:5" ht="15">
      <c r="B356">
        <f t="shared" si="22"/>
        <v>946</v>
      </c>
      <c r="C356">
        <f>_XLL.ENTROPY('simple Brayton Cycle'!$A$10,"PT",'T-s diagr. data'!$C$5,'T-s diagr. data'!B356-273.15)</f>
        <v>8.06735409865396</v>
      </c>
      <c r="E356">
        <f>_XLL.ENTROPY('simple Brayton Cycle'!$A$10,"PT",'T-s diagr. data'!$E$5,'T-s diagr. data'!B356-273.15)</f>
        <v>7.673194486434375</v>
      </c>
    </row>
    <row r="357" spans="2:5" ht="15">
      <c r="B357">
        <f t="shared" si="22"/>
        <v>948</v>
      </c>
      <c r="C357">
        <f>_XLL.ENTROPY('simple Brayton Cycle'!$A$10,"PT",'T-s diagr. data'!$C$5,'T-s diagr. data'!B357-273.15)</f>
        <v>8.06974140036635</v>
      </c>
      <c r="E357">
        <f>_XLL.ENTROPY('simple Brayton Cycle'!$A$10,"PT",'T-s diagr. data'!$E$5,'T-s diagr. data'!B357-273.15)</f>
        <v>7.675581788146767</v>
      </c>
    </row>
    <row r="358" spans="2:5" ht="15">
      <c r="B358">
        <f t="shared" si="22"/>
        <v>950</v>
      </c>
      <c r="C358">
        <f>_XLL.ENTROPY('simple Brayton Cycle'!$A$10,"PT",'T-s diagr. data'!$C$5,'T-s diagr. data'!B358-273.15)</f>
        <v>8.072124509251442</v>
      </c>
      <c r="E358">
        <f>_XLL.ENTROPY('simple Brayton Cycle'!$A$10,"PT",'T-s diagr. data'!$E$5,'T-s diagr. data'!B358-273.15)</f>
        <v>7.677964897031858</v>
      </c>
    </row>
    <row r="359" spans="2:5" ht="15">
      <c r="B359">
        <f t="shared" si="22"/>
        <v>952</v>
      </c>
      <c r="C359">
        <f>_XLL.ENTROPY('simple Brayton Cycle'!$A$10,"PT",'T-s diagr. data'!$C$5,'T-s diagr. data'!B359-273.15)</f>
        <v>8.074503439764184</v>
      </c>
      <c r="E359">
        <f>_XLL.ENTROPY('simple Brayton Cycle'!$A$10,"PT",'T-s diagr. data'!$E$5,'T-s diagr. data'!B359-273.15)</f>
        <v>7.6803438275446</v>
      </c>
    </row>
    <row r="360" spans="2:5" ht="15">
      <c r="B360">
        <f t="shared" si="22"/>
        <v>954</v>
      </c>
      <c r="C360">
        <f>_XLL.ENTROPY('simple Brayton Cycle'!$A$10,"PT",'T-s diagr. data'!$C$5,'T-s diagr. data'!B360-273.15)</f>
        <v>8.076878206243599</v>
      </c>
      <c r="E360">
        <f>_XLL.ENTROPY('simple Brayton Cycle'!$A$10,"PT",'T-s diagr. data'!$E$5,'T-s diagr. data'!B360-273.15)</f>
        <v>7.6827185940240135</v>
      </c>
    </row>
    <row r="361" spans="2:5" ht="15">
      <c r="B361">
        <f t="shared" si="22"/>
        <v>956</v>
      </c>
      <c r="C361">
        <f>_XLL.ENTROPY('simple Brayton Cycle'!$A$10,"PT",'T-s diagr. data'!$C$5,'T-s diagr. data'!B361-273.15)</f>
        <v>8.079248822913787</v>
      </c>
      <c r="E361">
        <f>_XLL.ENTROPY('simple Brayton Cycle'!$A$10,"PT",'T-s diagr. data'!$E$5,'T-s diagr. data'!B361-273.15)</f>
        <v>7.685089210694203</v>
      </c>
    </row>
    <row r="362" spans="2:5" ht="15">
      <c r="B362">
        <f t="shared" si="22"/>
        <v>958</v>
      </c>
      <c r="C362">
        <f>_XLL.ENTROPY('simple Brayton Cycle'!$A$10,"PT",'T-s diagr. data'!$C$5,'T-s diagr. data'!B362-273.15)</f>
        <v>8.081615303884984</v>
      </c>
      <c r="E362">
        <f>_XLL.ENTROPY('simple Brayton Cycle'!$A$10,"PT",'T-s diagr. data'!$E$5,'T-s diagr. data'!B362-273.15)</f>
        <v>7.687455691665398</v>
      </c>
    </row>
    <row r="363" spans="2:5" ht="15">
      <c r="B363">
        <f t="shared" si="22"/>
        <v>960</v>
      </c>
      <c r="C363">
        <f>_XLL.ENTROPY('simple Brayton Cycle'!$A$10,"PT",'T-s diagr. data'!$C$5,'T-s diagr. data'!B363-273.15)</f>
        <v>8.08397766315454</v>
      </c>
      <c r="E363">
        <f>_XLL.ENTROPY('simple Brayton Cycle'!$A$10,"PT",'T-s diagr. data'!$E$5,'T-s diagr. data'!B363-273.15)</f>
        <v>7.6898180509349565</v>
      </c>
    </row>
    <row r="364" spans="2:5" ht="15">
      <c r="B364">
        <f t="shared" si="22"/>
        <v>962</v>
      </c>
      <c r="C364">
        <f>_XLL.ENTROPY('simple Brayton Cycle'!$A$10,"PT",'T-s diagr. data'!$C$5,'T-s diagr. data'!B364-273.15)</f>
        <v>8.086335914607952</v>
      </c>
      <c r="E364">
        <f>_XLL.ENTROPY('simple Brayton Cycle'!$A$10,"PT",'T-s diagr. data'!$E$5,'T-s diagr. data'!B364-273.15)</f>
        <v>7.6921763023883685</v>
      </c>
    </row>
    <row r="365" spans="2:5" ht="15">
      <c r="B365">
        <f t="shared" si="22"/>
        <v>964</v>
      </c>
      <c r="C365">
        <f>_XLL.ENTROPY('simple Brayton Cycle'!$A$10,"PT",'T-s diagr. data'!$C$5,'T-s diagr. data'!B365-273.15)</f>
        <v>8.088690072019839</v>
      </c>
      <c r="E365">
        <f>_XLL.ENTROPY('simple Brayton Cycle'!$A$10,"PT",'T-s diagr. data'!$E$5,'T-s diagr. data'!B365-273.15)</f>
        <v>7.694530459800255</v>
      </c>
    </row>
    <row r="366" spans="2:5" ht="15">
      <c r="B366">
        <f t="shared" si="22"/>
        <v>966</v>
      </c>
      <c r="C366">
        <f>_XLL.ENTROPY('simple Brayton Cycle'!$A$10,"PT",'T-s diagr. data'!$C$5,'T-s diagr. data'!B366-273.15)</f>
        <v>8.091040149054928</v>
      </c>
      <c r="E366">
        <f>_XLL.ENTROPY('simple Brayton Cycle'!$A$10,"PT",'T-s diagr. data'!$E$5,'T-s diagr. data'!B366-273.15)</f>
        <v>7.696880536835342</v>
      </c>
    </row>
    <row r="367" spans="2:5" ht="15">
      <c r="B367">
        <f t="shared" si="22"/>
        <v>968</v>
      </c>
      <c r="C367">
        <f>_XLL.ENTROPY('simple Brayton Cycle'!$A$10,"PT",'T-s diagr. data'!$C$5,'T-s diagr. data'!B367-273.15)</f>
        <v>8.093386159269027</v>
      </c>
      <c r="E367">
        <f>_XLL.ENTROPY('simple Brayton Cycle'!$A$10,"PT",'T-s diagr. data'!$E$5,'T-s diagr. data'!B367-273.15)</f>
        <v>7.6992265470494425</v>
      </c>
    </row>
    <row r="368" spans="2:5" ht="15">
      <c r="B368">
        <f t="shared" si="22"/>
        <v>970</v>
      </c>
      <c r="C368">
        <f>_XLL.ENTROPY('simple Brayton Cycle'!$A$10,"PT",'T-s diagr. data'!$C$5,'T-s diagr. data'!B368-273.15)</f>
        <v>8.095728116109994</v>
      </c>
      <c r="E368">
        <f>_XLL.ENTROPY('simple Brayton Cycle'!$A$10,"PT",'T-s diagr. data'!$E$5,'T-s diagr. data'!B368-273.15)</f>
        <v>7.70156850389041</v>
      </c>
    </row>
    <row r="369" spans="2:5" ht="15">
      <c r="B369">
        <f t="shared" si="22"/>
        <v>972</v>
      </c>
      <c r="C369">
        <f>_XLL.ENTROPY('simple Brayton Cycle'!$A$10,"PT",'T-s diagr. data'!$C$5,'T-s diagr. data'!B369-273.15)</f>
        <v>8.098066032918675</v>
      </c>
      <c r="E369">
        <f>_XLL.ENTROPY('simple Brayton Cycle'!$A$10,"PT",'T-s diagr. data'!$E$5,'T-s diagr. data'!B369-273.15)</f>
        <v>7.70390642069909</v>
      </c>
    </row>
    <row r="370" spans="2:5" ht="15">
      <c r="B370">
        <f t="shared" si="22"/>
        <v>974</v>
      </c>
      <c r="C370">
        <f>_XLL.ENTROPY('simple Brayton Cycle'!$A$10,"PT",'T-s diagr. data'!$C$5,'T-s diagr. data'!B370-273.15)</f>
        <v>8.100399922929856</v>
      </c>
      <c r="E370">
        <f>_XLL.ENTROPY('simple Brayton Cycle'!$A$10,"PT",'T-s diagr. data'!$E$5,'T-s diagr. data'!B370-273.15)</f>
        <v>7.706240310710272</v>
      </c>
    </row>
    <row r="371" spans="2:5" ht="15">
      <c r="B371">
        <f t="shared" si="22"/>
        <v>976</v>
      </c>
      <c r="C371">
        <f>_XLL.ENTROPY('simple Brayton Cycle'!$A$10,"PT",'T-s diagr. data'!$C$5,'T-s diagr. data'!B371-273.15)</f>
        <v>8.102729799273202</v>
      </c>
      <c r="E371">
        <f>_XLL.ENTROPY('simple Brayton Cycle'!$A$10,"PT",'T-s diagr. data'!$E$5,'T-s diagr. data'!B371-273.15)</f>
        <v>7.708570187053618</v>
      </c>
    </row>
    <row r="372" spans="2:5" ht="15">
      <c r="B372">
        <f t="shared" si="22"/>
        <v>978</v>
      </c>
      <c r="C372">
        <f>_XLL.ENTROPY('simple Brayton Cycle'!$A$10,"PT",'T-s diagr. data'!$C$5,'T-s diagr. data'!B372-273.15)</f>
        <v>8.105055674974162</v>
      </c>
      <c r="E372">
        <f>_XLL.ENTROPY('simple Brayton Cycle'!$A$10,"PT",'T-s diagr. data'!$E$5,'T-s diagr. data'!B372-273.15)</f>
        <v>7.7108960627545775</v>
      </c>
    </row>
    <row r="373" spans="2:5" ht="15">
      <c r="B373">
        <f t="shared" si="22"/>
        <v>980</v>
      </c>
      <c r="C373">
        <f>_XLL.ENTROPY('simple Brayton Cycle'!$A$10,"PT",'T-s diagr. data'!$C$5,'T-s diagr. data'!B373-273.15)</f>
        <v>8.107377562954897</v>
      </c>
      <c r="E373">
        <f>_XLL.ENTROPY('simple Brayton Cycle'!$A$10,"PT",'T-s diagr. data'!$E$5,'T-s diagr. data'!B373-273.15)</f>
        <v>7.713217950735313</v>
      </c>
    </row>
    <row r="374" spans="2:5" ht="15">
      <c r="B374">
        <f t="shared" si="22"/>
        <v>982</v>
      </c>
      <c r="C374">
        <f>_XLL.ENTROPY('simple Brayton Cycle'!$A$10,"PT",'T-s diagr. data'!$C$5,'T-s diagr. data'!B374-273.15)</f>
        <v>8.109695476035181</v>
      </c>
      <c r="E374">
        <f>_XLL.ENTROPY('simple Brayton Cycle'!$A$10,"PT",'T-s diagr. data'!$E$5,'T-s diagr. data'!B374-273.15)</f>
        <v>7.715535863815598</v>
      </c>
    </row>
    <row r="375" spans="2:5" ht="15">
      <c r="B375">
        <f t="shared" si="22"/>
        <v>984</v>
      </c>
      <c r="C375">
        <f>_XLL.ENTROPY('simple Brayton Cycle'!$A$10,"PT",'T-s diagr. data'!$C$5,'T-s diagr. data'!B375-273.15)</f>
        <v>8.112009426933298</v>
      </c>
      <c r="E375">
        <f>_XLL.ENTROPY('simple Brayton Cycle'!$A$10,"PT",'T-s diagr. data'!$E$5,'T-s diagr. data'!B375-273.15)</f>
        <v>7.717849814713714</v>
      </c>
    </row>
    <row r="376" spans="2:5" ht="15">
      <c r="B376">
        <f t="shared" si="22"/>
        <v>986</v>
      </c>
      <c r="C376">
        <f>_XLL.ENTROPY('simple Brayton Cycle'!$A$10,"PT",'T-s diagr. data'!$C$5,'T-s diagr. data'!B376-273.15)</f>
        <v>8.114319428266919</v>
      </c>
      <c r="E376">
        <f>_XLL.ENTROPY('simple Brayton Cycle'!$A$10,"PT",'T-s diagr. data'!$E$5,'T-s diagr. data'!B376-273.15)</f>
        <v>7.7201598160473335</v>
      </c>
    </row>
    <row r="377" spans="2:5" ht="15">
      <c r="B377">
        <f t="shared" si="22"/>
        <v>988</v>
      </c>
      <c r="C377">
        <f>_XLL.ENTROPY('simple Brayton Cycle'!$A$10,"PT",'T-s diagr. data'!$C$5,'T-s diagr. data'!B377-273.15)</f>
        <v>8.116625492553995</v>
      </c>
      <c r="E377">
        <f>_XLL.ENTROPY('simple Brayton Cycle'!$A$10,"PT",'T-s diagr. data'!$E$5,'T-s diagr. data'!B377-273.15)</f>
        <v>7.72246588033441</v>
      </c>
    </row>
    <row r="378" spans="2:5" ht="15">
      <c r="B378">
        <f t="shared" si="22"/>
        <v>990</v>
      </c>
      <c r="C378">
        <f>_XLL.ENTROPY('simple Brayton Cycle'!$A$10,"PT",'T-s diagr. data'!$C$5,'T-s diagr. data'!B378-273.15)</f>
        <v>8.118927632213609</v>
      </c>
      <c r="E378">
        <f>_XLL.ENTROPY('simple Brayton Cycle'!$A$10,"PT",'T-s diagr. data'!$E$5,'T-s diagr. data'!B378-273.15)</f>
        <v>7.724768019994026</v>
      </c>
    </row>
    <row r="379" spans="2:5" ht="15">
      <c r="B379">
        <f t="shared" si="22"/>
        <v>992</v>
      </c>
      <c r="C379">
        <f>_XLL.ENTROPY('simple Brayton Cycle'!$A$10,"PT",'T-s diagr. data'!$C$5,'T-s diagr. data'!B379-273.15)</f>
        <v>8.12122585956685</v>
      </c>
      <c r="E379">
        <f>_XLL.ENTROPY('simple Brayton Cycle'!$A$10,"PT",'T-s diagr. data'!$E$5,'T-s diagr. data'!B379-273.15)</f>
        <v>7.727066247347266</v>
      </c>
    </row>
    <row r="380" spans="2:5" ht="15">
      <c r="B380">
        <f t="shared" si="22"/>
        <v>994</v>
      </c>
      <c r="C380">
        <f>_XLL.ENTROPY('simple Brayton Cycle'!$A$10,"PT",'T-s diagr. data'!$C$5,'T-s diagr. data'!B380-273.15)</f>
        <v>8.123520186837654</v>
      </c>
      <c r="E380">
        <f>_XLL.ENTROPY('simple Brayton Cycle'!$A$10,"PT",'T-s diagr. data'!$E$5,'T-s diagr. data'!B380-273.15)</f>
        <v>7.7293605746180685</v>
      </c>
    </row>
    <row r="381" spans="2:5" ht="15">
      <c r="B381">
        <f t="shared" si="22"/>
        <v>996</v>
      </c>
      <c r="C381">
        <f>_XLL.ENTROPY('simple Brayton Cycle'!$A$10,"PT",'T-s diagr. data'!$C$5,'T-s diagr. data'!B381-273.15)</f>
        <v>8.125810626153646</v>
      </c>
      <c r="E381">
        <f>_XLL.ENTROPY('simple Brayton Cycle'!$A$10,"PT",'T-s diagr. data'!$E$5,'T-s diagr. data'!B381-273.15)</f>
        <v>7.73165101393406</v>
      </c>
    </row>
    <row r="382" spans="2:5" ht="15">
      <c r="B382">
        <f t="shared" si="22"/>
        <v>998</v>
      </c>
      <c r="C382">
        <f>_XLL.ENTROPY('simple Brayton Cycle'!$A$10,"PT",'T-s diagr. data'!$C$5,'T-s diagr. data'!B382-273.15)</f>
        <v>8.128097189546981</v>
      </c>
      <c r="E382">
        <f>_XLL.ENTROPY('simple Brayton Cycle'!$A$10,"PT",'T-s diagr. data'!$E$5,'T-s diagr. data'!B382-273.15)</f>
        <v>7.7339375773273975</v>
      </c>
    </row>
    <row r="383" spans="2:5" ht="15">
      <c r="B383">
        <f t="shared" si="22"/>
        <v>1000</v>
      </c>
      <c r="C383">
        <f>_XLL.ENTROPY('simple Brayton Cycle'!$A$10,"PT",'T-s diagr. data'!$C$5,'T-s diagr. data'!B383-273.15)</f>
        <v>8.130379888955169</v>
      </c>
      <c r="E383">
        <f>_XLL.ENTROPY('simple Brayton Cycle'!$A$10,"PT",'T-s diagr. data'!$E$5,'T-s diagr. data'!B383-273.15)</f>
        <v>7.736220276735584</v>
      </c>
    </row>
    <row r="384" spans="2:5" ht="15">
      <c r="B384">
        <f t="shared" si="22"/>
        <v>1002</v>
      </c>
      <c r="C384">
        <f>_XLL.ENTROPY('simple Brayton Cycle'!$A$10,"PT",'T-s diagr. data'!$C$5,'T-s diagr. data'!B384-273.15)</f>
        <v>8.132659558101802</v>
      </c>
      <c r="E384">
        <f>_XLL.ENTROPY('simple Brayton Cycle'!$A$10,"PT",'T-s diagr. data'!$E$5,'T-s diagr. data'!B384-273.15)</f>
        <v>7.738499945882217</v>
      </c>
    </row>
    <row r="385" spans="2:5" ht="15">
      <c r="B385">
        <f t="shared" si="22"/>
        <v>1004</v>
      </c>
      <c r="C385">
        <f>_XLL.ENTROPY('simple Brayton Cycle'!$A$10,"PT",'T-s diagr. data'!$C$5,'T-s diagr. data'!B385-273.15)</f>
        <v>8.134934528539851</v>
      </c>
      <c r="E385">
        <f>_XLL.ENTROPY('simple Brayton Cycle'!$A$10,"PT",'T-s diagr. data'!$E$5,'T-s diagr. data'!B385-273.15)</f>
        <v>7.740774916320265</v>
      </c>
    </row>
    <row r="386" spans="2:5" ht="15">
      <c r="B386">
        <f t="shared" si="22"/>
        <v>1006</v>
      </c>
      <c r="C386">
        <f>_XLL.ENTROPY('simple Brayton Cycle'!$A$10,"PT",'T-s diagr. data'!$C$5,'T-s diagr. data'!B386-273.15)</f>
        <v>8.1372056487312</v>
      </c>
      <c r="E386">
        <f>_XLL.ENTROPY('simple Brayton Cycle'!$A$10,"PT",'T-s diagr. data'!$E$5,'T-s diagr. data'!B386-273.15)</f>
        <v>7.743046036511615</v>
      </c>
    </row>
    <row r="387" spans="2:5" ht="15">
      <c r="B387">
        <f t="shared" si="22"/>
        <v>1008</v>
      </c>
      <c r="C387">
        <f>_XLL.ENTROPY('simple Brayton Cycle'!$A$10,"PT",'T-s diagr. data'!$C$5,'T-s diagr. data'!B387-273.15)</f>
        <v>8.13947293276328</v>
      </c>
      <c r="E387">
        <f>_XLL.ENTROPY('simple Brayton Cycle'!$A$10,"PT",'T-s diagr. data'!$E$5,'T-s diagr. data'!B387-273.15)</f>
        <v>7.745313320543695</v>
      </c>
    </row>
    <row r="388" spans="2:5" ht="15">
      <c r="B388">
        <f t="shared" si="22"/>
        <v>1010</v>
      </c>
      <c r="C388">
        <f>_XLL.ENTROPY('simple Brayton Cycle'!$A$10,"PT",'T-s diagr. data'!$C$5,'T-s diagr. data'!B388-273.15)</f>
        <v>8.141736394641459</v>
      </c>
      <c r="E388">
        <f>_XLL.ENTROPY('simple Brayton Cycle'!$A$10,"PT",'T-s diagr. data'!$E$5,'T-s diagr. data'!B388-273.15)</f>
        <v>7.747576782421873</v>
      </c>
    </row>
    <row r="389" spans="2:5" ht="15">
      <c r="B389">
        <f t="shared" si="22"/>
        <v>1012</v>
      </c>
      <c r="C389">
        <f>_XLL.ENTROPY('simple Brayton Cycle'!$A$10,"PT",'T-s diagr. data'!$C$5,'T-s diagr. data'!B389-273.15)</f>
        <v>8.14399604828969</v>
      </c>
      <c r="E389">
        <f>_XLL.ENTROPY('simple Brayton Cycle'!$A$10,"PT",'T-s diagr. data'!$E$5,'T-s diagr. data'!B389-273.15)</f>
        <v>7.749836436070106</v>
      </c>
    </row>
    <row r="390" spans="2:5" ht="15">
      <c r="B390">
        <f t="shared" si="22"/>
        <v>1014</v>
      </c>
      <c r="C390">
        <f>_XLL.ENTROPY('simple Brayton Cycle'!$A$10,"PT",'T-s diagr. data'!$C$5,'T-s diagr. data'!B390-273.15)</f>
        <v>8.146251907551154</v>
      </c>
      <c r="E390">
        <f>_XLL.ENTROPY('simple Brayton Cycle'!$A$10,"PT",'T-s diagr. data'!$E$5,'T-s diagr. data'!B390-273.15)</f>
        <v>7.752092295331571</v>
      </c>
    </row>
    <row r="391" spans="2:5" ht="15">
      <c r="B391">
        <f t="shared" si="22"/>
        <v>1016</v>
      </c>
      <c r="C391">
        <f>_XLL.ENTROPY('simple Brayton Cycle'!$A$10,"PT",'T-s diagr. data'!$C$5,'T-s diagr. data'!B391-273.15)</f>
        <v>8.148503986188894</v>
      </c>
      <c r="E391">
        <f>_XLL.ENTROPY('simple Brayton Cycle'!$A$10,"PT",'T-s diagr. data'!$E$5,'T-s diagr. data'!B391-273.15)</f>
        <v>7.75434437396931</v>
      </c>
    </row>
    <row r="392" spans="2:5" ht="15">
      <c r="B392">
        <f t="shared" si="22"/>
        <v>1018</v>
      </c>
      <c r="C392">
        <f>_XLL.ENTROPY('simple Brayton Cycle'!$A$10,"PT",'T-s diagr. data'!$C$5,'T-s diagr. data'!B392-273.15)</f>
        <v>8.150752297886442</v>
      </c>
      <c r="E392">
        <f>_XLL.ENTROPY('simple Brayton Cycle'!$A$10,"PT",'T-s diagr. data'!$E$5,'T-s diagr. data'!B392-273.15)</f>
        <v>7.756592685666859</v>
      </c>
    </row>
    <row r="393" spans="2:5" ht="15">
      <c r="B393">
        <f t="shared" si="22"/>
        <v>1020</v>
      </c>
      <c r="C393">
        <f>_XLL.ENTROPY('simple Brayton Cycle'!$A$10,"PT",'T-s diagr. data'!$C$5,'T-s diagr. data'!B393-273.15)</f>
        <v>8.152996856248445</v>
      </c>
      <c r="E393">
        <f>_XLL.ENTROPY('simple Brayton Cycle'!$A$10,"PT",'T-s diagr. data'!$E$5,'T-s diagr. data'!B393-273.15)</f>
        <v>7.75883724402886</v>
      </c>
    </row>
    <row r="394" spans="2:5" ht="15">
      <c r="B394">
        <f aca="true" t="shared" si="23" ref="B394:B457">B393+2</f>
        <v>1022</v>
      </c>
      <c r="C394">
        <f>_XLL.ENTROPY('simple Brayton Cycle'!$A$10,"PT",'T-s diagr. data'!$C$5,'T-s diagr. data'!B394-273.15)</f>
        <v>8.155237674801283</v>
      </c>
      <c r="E394">
        <f>_XLL.ENTROPY('simple Brayton Cycle'!$A$10,"PT",'T-s diagr. data'!$E$5,'T-s diagr. data'!B394-273.15)</f>
        <v>7.7610780625816975</v>
      </c>
    </row>
    <row r="395" spans="2:5" ht="15">
      <c r="B395">
        <f t="shared" si="23"/>
        <v>1024</v>
      </c>
      <c r="C395">
        <f>_XLL.ENTROPY('simple Brayton Cycle'!$A$10,"PT",'T-s diagr. data'!$C$5,'T-s diagr. data'!B395-273.15)</f>
        <v>8.157474766993674</v>
      </c>
      <c r="E395">
        <f>_XLL.ENTROPY('simple Brayton Cycle'!$A$10,"PT",'T-s diagr. data'!$E$5,'T-s diagr. data'!B395-273.15)</f>
        <v>7.76331515477409</v>
      </c>
    </row>
    <row r="396" spans="2:5" ht="15">
      <c r="B396">
        <f t="shared" si="23"/>
        <v>1026</v>
      </c>
      <c r="C396">
        <f>_XLL.ENTROPY('simple Brayton Cycle'!$A$10,"PT",'T-s diagr. data'!$C$5,'T-s diagr. data'!B396-273.15)</f>
        <v>8.159708146197293</v>
      </c>
      <c r="E396">
        <f>_XLL.ENTROPY('simple Brayton Cycle'!$A$10,"PT",'T-s diagr. data'!$E$5,'T-s diagr. data'!B396-273.15)</f>
        <v>7.765548533977707</v>
      </c>
    </row>
    <row r="397" spans="2:5" ht="15">
      <c r="B397">
        <f t="shared" si="23"/>
        <v>1028</v>
      </c>
      <c r="C397">
        <f>_XLL.ENTROPY('simple Brayton Cycle'!$A$10,"PT",'T-s diagr. data'!$C$5,'T-s diagr. data'!B397-273.15)</f>
        <v>8.16193782570734</v>
      </c>
      <c r="E397">
        <f>_XLL.ENTROPY('simple Brayton Cycle'!$A$10,"PT",'T-s diagr. data'!$E$5,'T-s diagr. data'!B397-273.15)</f>
        <v>7.767778213487757</v>
      </c>
    </row>
    <row r="398" spans="2:5" ht="15">
      <c r="B398">
        <f t="shared" si="23"/>
        <v>1030</v>
      </c>
      <c r="C398">
        <f>_XLL.ENTROPY('simple Brayton Cycle'!$A$10,"PT",'T-s diagr. data'!$C$5,'T-s diagr. data'!B398-273.15)</f>
        <v>8.164163818743182</v>
      </c>
      <c r="E398">
        <f>_XLL.ENTROPY('simple Brayton Cycle'!$A$10,"PT",'T-s diagr. data'!$E$5,'T-s diagr. data'!B398-273.15)</f>
        <v>7.770004206523596</v>
      </c>
    </row>
    <row r="399" spans="2:5" ht="15">
      <c r="B399">
        <f t="shared" si="23"/>
        <v>1032</v>
      </c>
      <c r="C399">
        <f>_XLL.ENTROPY('simple Brayton Cycle'!$A$10,"PT",'T-s diagr. data'!$C$5,'T-s diagr. data'!B399-273.15)</f>
        <v>8.166386138448885</v>
      </c>
      <c r="E399">
        <f>_XLL.ENTROPY('simple Brayton Cycle'!$A$10,"PT",'T-s diagr. data'!$E$5,'T-s diagr. data'!B399-273.15)</f>
        <v>7.772226526229302</v>
      </c>
    </row>
    <row r="400" spans="2:5" ht="15">
      <c r="B400">
        <f t="shared" si="23"/>
        <v>1034</v>
      </c>
      <c r="C400">
        <f>_XLL.ENTROPY('simple Brayton Cycle'!$A$10,"PT",'T-s diagr. data'!$C$5,'T-s diagr. data'!B400-273.15)</f>
        <v>8.168604797893844</v>
      </c>
      <c r="E400">
        <f>_XLL.ENTROPY('simple Brayton Cycle'!$A$10,"PT",'T-s diagr. data'!$E$5,'T-s diagr. data'!B400-273.15)</f>
        <v>7.774445185674258</v>
      </c>
    </row>
    <row r="401" spans="2:5" ht="15">
      <c r="B401">
        <f t="shared" si="23"/>
        <v>1036</v>
      </c>
      <c r="C401">
        <f>_XLL.ENTROPY('simple Brayton Cycle'!$A$10,"PT",'T-s diagr. data'!$C$5,'T-s diagr. data'!B401-273.15)</f>
        <v>8.170819810073324</v>
      </c>
      <c r="E401">
        <f>_XLL.ENTROPY('simple Brayton Cycle'!$A$10,"PT",'T-s diagr. data'!$E$5,'T-s diagr. data'!B401-273.15)</f>
        <v>7.776660197853739</v>
      </c>
    </row>
    <row r="402" spans="2:5" ht="15">
      <c r="B402">
        <f t="shared" si="23"/>
        <v>1038</v>
      </c>
      <c r="C402">
        <f>_XLL.ENTROPY('simple Brayton Cycle'!$A$10,"PT",'T-s diagr. data'!$C$5,'T-s diagr. data'!B402-273.15)</f>
        <v>8.173031187909054</v>
      </c>
      <c r="E402">
        <f>_XLL.ENTROPY('simple Brayton Cycle'!$A$10,"PT",'T-s diagr. data'!$E$5,'T-s diagr. data'!B402-273.15)</f>
        <v>7.77887157568947</v>
      </c>
    </row>
    <row r="403" spans="2:5" ht="15">
      <c r="B403">
        <f t="shared" si="23"/>
        <v>1040</v>
      </c>
      <c r="C403">
        <f>_XLL.ENTROPY('simple Brayton Cycle'!$A$10,"PT",'T-s diagr. data'!$C$5,'T-s diagr. data'!B403-273.15)</f>
        <v>8.175238944249779</v>
      </c>
      <c r="E403">
        <f>_XLL.ENTROPY('simple Brayton Cycle'!$A$10,"PT",'T-s diagr. data'!$E$5,'T-s diagr. data'!B403-273.15)</f>
        <v>7.781079332030196</v>
      </c>
    </row>
    <row r="404" spans="2:5" ht="15">
      <c r="B404">
        <f t="shared" si="23"/>
        <v>1042</v>
      </c>
      <c r="C404">
        <f>_XLL.ENTROPY('simple Brayton Cycle'!$A$10,"PT",'T-s diagr. data'!$C$5,'T-s diagr. data'!B404-273.15)</f>
        <v>8.177443091871828</v>
      </c>
      <c r="E404">
        <f>_XLL.ENTROPY('simple Brayton Cycle'!$A$10,"PT",'T-s diagr. data'!$E$5,'T-s diagr. data'!B404-273.15)</f>
        <v>7.783283479652244</v>
      </c>
    </row>
    <row r="405" spans="2:5" ht="15">
      <c r="B405">
        <f t="shared" si="23"/>
        <v>1044</v>
      </c>
      <c r="C405">
        <f>_XLL.ENTROPY('simple Brayton Cycle'!$A$10,"PT",'T-s diagr. data'!$C$5,'T-s diagr. data'!B405-273.15)</f>
        <v>8.179643643479654</v>
      </c>
      <c r="E405">
        <f>_XLL.ENTROPY('simple Brayton Cycle'!$A$10,"PT",'T-s diagr. data'!$E$5,'T-s diagr. data'!B405-273.15)</f>
        <v>7.7854840312600695</v>
      </c>
    </row>
    <row r="406" spans="2:5" ht="15">
      <c r="B406">
        <f t="shared" si="23"/>
        <v>1046</v>
      </c>
      <c r="C406">
        <f>_XLL.ENTROPY('simple Brayton Cycle'!$A$10,"PT",'T-s diagr. data'!$C$5,'T-s diagr. data'!B406-273.15)</f>
        <v>8.181840611706402</v>
      </c>
      <c r="E406">
        <f>_XLL.ENTROPY('simple Brayton Cycle'!$A$10,"PT",'T-s diagr. data'!$E$5,'T-s diagr. data'!B406-273.15)</f>
        <v>7.787680999486817</v>
      </c>
    </row>
    <row r="407" spans="2:5" ht="15">
      <c r="B407">
        <f t="shared" si="23"/>
        <v>1048</v>
      </c>
      <c r="C407">
        <f>_XLL.ENTROPY('simple Brayton Cycle'!$A$10,"PT",'T-s diagr. data'!$C$5,'T-s diagr. data'!B407-273.15)</f>
        <v>8.184034009114438</v>
      </c>
      <c r="E407">
        <f>_XLL.ENTROPY('simple Brayton Cycle'!$A$10,"PT",'T-s diagr. data'!$E$5,'T-s diagr. data'!B407-273.15)</f>
        <v>7.789874396894852</v>
      </c>
    </row>
    <row r="408" spans="2:5" ht="15">
      <c r="B408">
        <f t="shared" si="23"/>
        <v>1050</v>
      </c>
      <c r="C408">
        <f>_XLL.ENTROPY('simple Brayton Cycle'!$A$10,"PT",'T-s diagr. data'!$C$5,'T-s diagr. data'!B408-273.15)</f>
        <v>8.186223848195896</v>
      </c>
      <c r="E408">
        <f>_XLL.ENTROPY('simple Brayton Cycle'!$A$10,"PT",'T-s diagr. data'!$E$5,'T-s diagr. data'!B408-273.15)</f>
        <v>7.792064235976311</v>
      </c>
    </row>
    <row r="409" spans="2:5" ht="15">
      <c r="B409">
        <f t="shared" si="23"/>
        <v>1052</v>
      </c>
      <c r="C409">
        <f>_XLL.ENTROPY('simple Brayton Cycle'!$A$10,"PT",'T-s diagr. data'!$C$5,'T-s diagr. data'!B409-273.15)</f>
        <v>8.188410141373211</v>
      </c>
      <c r="E409">
        <f>_XLL.ENTROPY('simple Brayton Cycle'!$A$10,"PT",'T-s diagr. data'!$E$5,'T-s diagr. data'!B409-273.15)</f>
        <v>7.794250529153626</v>
      </c>
    </row>
    <row r="410" spans="2:5" ht="15">
      <c r="B410">
        <f t="shared" si="23"/>
        <v>1054</v>
      </c>
      <c r="C410">
        <f>_XLL.ENTROPY('simple Brayton Cycle'!$A$10,"PT",'T-s diagr. data'!$C$5,'T-s diagr. data'!B410-273.15)</f>
        <v>8.190592900999636</v>
      </c>
      <c r="E410">
        <f>_XLL.ENTROPY('simple Brayton Cycle'!$A$10,"PT",'T-s diagr. data'!$E$5,'T-s diagr. data'!B410-273.15)</f>
        <v>7.796433288780052</v>
      </c>
    </row>
    <row r="411" spans="2:5" ht="15">
      <c r="B411">
        <f t="shared" si="23"/>
        <v>1056</v>
      </c>
      <c r="C411">
        <f>_XLL.ENTROPY('simple Brayton Cycle'!$A$10,"PT",'T-s diagr. data'!$C$5,'T-s diagr. data'!B411-273.15)</f>
        <v>8.192772139359786</v>
      </c>
      <c r="E411">
        <f>_XLL.ENTROPY('simple Brayton Cycle'!$A$10,"PT",'T-s diagr. data'!$E$5,'T-s diagr. data'!B411-273.15)</f>
        <v>7.798612527140199</v>
      </c>
    </row>
    <row r="412" spans="2:5" ht="15">
      <c r="B412">
        <f t="shared" si="23"/>
        <v>1058</v>
      </c>
      <c r="C412">
        <f>_XLL.ENTROPY('simple Brayton Cycle'!$A$10,"PT",'T-s diagr. data'!$C$5,'T-s diagr. data'!B412-273.15)</f>
        <v>8.194947868670134</v>
      </c>
      <c r="E412">
        <f>_XLL.ENTROPY('simple Brayton Cycle'!$A$10,"PT",'T-s diagr. data'!$E$5,'T-s diagr. data'!B412-273.15)</f>
        <v>7.800788256450547</v>
      </c>
    </row>
    <row r="413" spans="2:5" ht="15">
      <c r="B413">
        <f t="shared" si="23"/>
        <v>1060</v>
      </c>
      <c r="C413">
        <f>_XLL.ENTROPY('simple Brayton Cycle'!$A$10,"PT",'T-s diagr. data'!$C$5,'T-s diagr. data'!B413-273.15)</f>
        <v>8.19712010107954</v>
      </c>
      <c r="E413">
        <f>_XLL.ENTROPY('simple Brayton Cycle'!$A$10,"PT",'T-s diagr. data'!$E$5,'T-s diagr. data'!B413-273.15)</f>
        <v>7.802960488859954</v>
      </c>
    </row>
    <row r="414" spans="2:5" ht="15">
      <c r="B414">
        <f t="shared" si="23"/>
        <v>1062</v>
      </c>
      <c r="C414">
        <f>_XLL.ENTROPY('simple Brayton Cycle'!$A$10,"PT",'T-s diagr. data'!$C$5,'T-s diagr. data'!B414-273.15)</f>
        <v>8.199288848669752</v>
      </c>
      <c r="E414">
        <f>_XLL.ENTROPY('simple Brayton Cycle'!$A$10,"PT",'T-s diagr. data'!$E$5,'T-s diagr. data'!B414-273.15)</f>
        <v>7.80512923645017</v>
      </c>
    </row>
    <row r="415" spans="2:5" ht="15">
      <c r="B415">
        <f t="shared" si="23"/>
        <v>1064</v>
      </c>
      <c r="C415">
        <f>_XLL.ENTROPY('simple Brayton Cycle'!$A$10,"PT",'T-s diagr. data'!$C$5,'T-s diagr. data'!B415-273.15)</f>
        <v>8.201454123455925</v>
      </c>
      <c r="E415">
        <f>_XLL.ENTROPY('simple Brayton Cycle'!$A$10,"PT",'T-s diagr. data'!$E$5,'T-s diagr. data'!B415-273.15)</f>
        <v>7.807294511236338</v>
      </c>
    </row>
    <row r="416" spans="2:5" ht="15">
      <c r="B416">
        <f t="shared" si="23"/>
        <v>1066</v>
      </c>
      <c r="C416">
        <f>_XLL.ENTROPY('simple Brayton Cycle'!$A$10,"PT",'T-s diagr. data'!$C$5,'T-s diagr. data'!B416-273.15)</f>
        <v>8.203615937387085</v>
      </c>
      <c r="E416">
        <f>_XLL.ENTROPY('simple Brayton Cycle'!$A$10,"PT",'T-s diagr. data'!$E$5,'T-s diagr. data'!B416-273.15)</f>
        <v>7.809456325167499</v>
      </c>
    </row>
    <row r="417" spans="2:5" ht="15">
      <c r="B417">
        <f t="shared" si="23"/>
        <v>1068</v>
      </c>
      <c r="C417">
        <f>_XLL.ENTROPY('simple Brayton Cycle'!$A$10,"PT",'T-s diagr. data'!$C$5,'T-s diagr. data'!B417-273.15)</f>
        <v>8.205774302346663</v>
      </c>
      <c r="E417">
        <f>_XLL.ENTROPY('simple Brayton Cycle'!$A$10,"PT",'T-s diagr. data'!$E$5,'T-s diagr. data'!B417-273.15)</f>
        <v>7.8116146901270795</v>
      </c>
    </row>
    <row r="418" spans="2:5" ht="15">
      <c r="B418">
        <f t="shared" si="23"/>
        <v>1070</v>
      </c>
      <c r="C418">
        <f>_XLL.ENTROPY('simple Brayton Cycle'!$A$10,"PT",'T-s diagr. data'!$C$5,'T-s diagr. data'!B418-273.15)</f>
        <v>8.207929230152967</v>
      </c>
      <c r="E418">
        <f>_XLL.ENTROPY('simple Brayton Cycle'!$A$10,"PT",'T-s diagr. data'!$E$5,'T-s diagr. data'!B418-273.15)</f>
        <v>7.813769617933381</v>
      </c>
    </row>
    <row r="419" spans="2:5" ht="15">
      <c r="B419">
        <f t="shared" si="23"/>
        <v>1072</v>
      </c>
      <c r="C419">
        <f>_XLL.ENTROPY('simple Brayton Cycle'!$A$10,"PT",'T-s diagr. data'!$C$5,'T-s diagr. data'!B419-273.15)</f>
        <v>8.21008073255966</v>
      </c>
      <c r="E419">
        <f>_XLL.ENTROPY('simple Brayton Cycle'!$A$10,"PT",'T-s diagr. data'!$E$5,'T-s diagr. data'!B419-273.15)</f>
        <v>7.815921120340075</v>
      </c>
    </row>
    <row r="420" spans="2:5" ht="15">
      <c r="B420">
        <f t="shared" si="23"/>
        <v>1074</v>
      </c>
      <c r="C420">
        <f>_XLL.ENTROPY('simple Brayton Cycle'!$A$10,"PT",'T-s diagr. data'!$C$5,'T-s diagr. data'!B420-273.15)</f>
        <v>8.212228821256259</v>
      </c>
      <c r="E420">
        <f>_XLL.ENTROPY('simple Brayton Cycle'!$A$10,"PT",'T-s diagr. data'!$E$5,'T-s diagr. data'!B420-273.15)</f>
        <v>7.8180692090366755</v>
      </c>
    </row>
    <row r="421" spans="2:5" ht="15">
      <c r="B421">
        <f t="shared" si="23"/>
        <v>1076</v>
      </c>
      <c r="C421">
        <f>_XLL.ENTROPY('simple Brayton Cycle'!$A$10,"PT",'T-s diagr. data'!$C$5,'T-s diagr. data'!B421-273.15)</f>
        <v>8.214373507868595</v>
      </c>
      <c r="E421">
        <f>_XLL.ENTROPY('simple Brayton Cycle'!$A$10,"PT",'T-s diagr. data'!$E$5,'T-s diagr. data'!B421-273.15)</f>
        <v>7.820213895649012</v>
      </c>
    </row>
    <row r="422" spans="2:5" ht="15">
      <c r="B422">
        <f t="shared" si="23"/>
        <v>1078</v>
      </c>
      <c r="C422">
        <f>_XLL.ENTROPY('simple Brayton Cycle'!$A$10,"PT",'T-s diagr. data'!$C$5,'T-s diagr. data'!B422-273.15)</f>
        <v>8.21651480395929</v>
      </c>
      <c r="E422">
        <f>_XLL.ENTROPY('simple Brayton Cycle'!$A$10,"PT",'T-s diagr. data'!$E$5,'T-s diagr. data'!B422-273.15)</f>
        <v>7.822355191739706</v>
      </c>
    </row>
    <row r="423" spans="2:5" ht="15">
      <c r="B423">
        <f t="shared" si="23"/>
        <v>1080</v>
      </c>
      <c r="C423">
        <f>_XLL.ENTROPY('simple Brayton Cycle'!$A$10,"PT",'T-s diagr. data'!$C$5,'T-s diagr. data'!B423-273.15)</f>
        <v>8.218652721028231</v>
      </c>
      <c r="E423">
        <f>_XLL.ENTROPY('simple Brayton Cycle'!$A$10,"PT",'T-s diagr. data'!$E$5,'T-s diagr. data'!B423-273.15)</f>
        <v>7.824493108808648</v>
      </c>
    </row>
    <row r="424" spans="2:5" ht="15">
      <c r="B424">
        <f t="shared" si="23"/>
        <v>1082</v>
      </c>
      <c r="C424">
        <f>_XLL.ENTROPY('simple Brayton Cycle'!$A$10,"PT",'T-s diagr. data'!$C$5,'T-s diagr. data'!B424-273.15)</f>
        <v>8.220787270513025</v>
      </c>
      <c r="E424">
        <f>_XLL.ENTROPY('simple Brayton Cycle'!$A$10,"PT",'T-s diagr. data'!$E$5,'T-s diagr. data'!B424-273.15)</f>
        <v>7.826627658293442</v>
      </c>
    </row>
    <row r="425" spans="2:5" ht="15">
      <c r="B425">
        <f t="shared" si="23"/>
        <v>1084</v>
      </c>
      <c r="C425">
        <f>_XLL.ENTROPY('simple Brayton Cycle'!$A$10,"PT",'T-s diagr. data'!$C$5,'T-s diagr. data'!B425-273.15)</f>
        <v>8.222918463789464</v>
      </c>
      <c r="E425">
        <f>_XLL.ENTROPY('simple Brayton Cycle'!$A$10,"PT",'T-s diagr. data'!$E$5,'T-s diagr. data'!B425-273.15)</f>
        <v>7.828758851569878</v>
      </c>
    </row>
    <row r="426" spans="2:5" ht="15">
      <c r="B426">
        <f t="shared" si="23"/>
        <v>1086</v>
      </c>
      <c r="C426">
        <f>_XLL.ENTROPY('simple Brayton Cycle'!$A$10,"PT",'T-s diagr. data'!$C$5,'T-s diagr. data'!B426-273.15)</f>
        <v>8.225046312171965</v>
      </c>
      <c r="E426">
        <f>_XLL.ENTROPY('simple Brayton Cycle'!$A$10,"PT",'T-s diagr. data'!$E$5,'T-s diagr. data'!B426-273.15)</f>
        <v>7.830886699952381</v>
      </c>
    </row>
    <row r="427" spans="2:5" ht="15">
      <c r="B427">
        <f t="shared" si="23"/>
        <v>1088</v>
      </c>
      <c r="C427">
        <f>_XLL.ENTROPY('simple Brayton Cycle'!$A$10,"PT",'T-s diagr. data'!$C$5,'T-s diagr. data'!B427-273.15)</f>
        <v>8.227170826914046</v>
      </c>
      <c r="E427">
        <f>_XLL.ENTROPY('simple Brayton Cycle'!$A$10,"PT",'T-s diagr. data'!$E$5,'T-s diagr. data'!B427-273.15)</f>
        <v>7.833011214694461</v>
      </c>
    </row>
    <row r="428" spans="2:5" ht="15">
      <c r="B428">
        <f t="shared" si="23"/>
        <v>1090</v>
      </c>
      <c r="C428">
        <f>_XLL.ENTROPY('simple Brayton Cycle'!$A$10,"PT",'T-s diagr. data'!$C$5,'T-s diagr. data'!B428-273.15)</f>
        <v>8.229292019208751</v>
      </c>
      <c r="E428">
        <f>_XLL.ENTROPY('simple Brayton Cycle'!$A$10,"PT",'T-s diagr. data'!$E$5,'T-s diagr. data'!B428-273.15)</f>
        <v>7.835132406989168</v>
      </c>
    </row>
    <row r="429" spans="2:5" ht="15">
      <c r="B429">
        <f t="shared" si="23"/>
        <v>1092</v>
      </c>
      <c r="C429">
        <f>_XLL.ENTROPY('simple Brayton Cycle'!$A$10,"PT",'T-s diagr. data'!$C$5,'T-s diagr. data'!B429-273.15)</f>
        <v>8.2314099001891</v>
      </c>
      <c r="E429">
        <f>_XLL.ENTROPY('simple Brayton Cycle'!$A$10,"PT",'T-s diagr. data'!$E$5,'T-s diagr. data'!B429-273.15)</f>
        <v>7.837250287969516</v>
      </c>
    </row>
    <row r="430" spans="2:5" ht="15">
      <c r="B430">
        <f t="shared" si="23"/>
        <v>1094</v>
      </c>
      <c r="C430">
        <f>_XLL.ENTROPY('simple Brayton Cycle'!$A$10,"PT",'T-s diagr. data'!$C$5,'T-s diagr. data'!B430-273.15)</f>
        <v>8.233524480928528</v>
      </c>
      <c r="E430">
        <f>_XLL.ENTROPY('simple Brayton Cycle'!$A$10,"PT",'T-s diagr. data'!$E$5,'T-s diagr. data'!B430-273.15)</f>
        <v>7.839364868708945</v>
      </c>
    </row>
    <row r="431" spans="2:5" ht="15">
      <c r="B431">
        <f t="shared" si="23"/>
        <v>1096</v>
      </c>
      <c r="C431">
        <f>_XLL.ENTROPY('simple Brayton Cycle'!$A$10,"PT",'T-s diagr. data'!$C$5,'T-s diagr. data'!B431-273.15)</f>
        <v>8.235635772441317</v>
      </c>
      <c r="E431">
        <f>_XLL.ENTROPY('simple Brayton Cycle'!$A$10,"PT",'T-s diagr. data'!$E$5,'T-s diagr. data'!B431-273.15)</f>
        <v>7.841476160221733</v>
      </c>
    </row>
    <row r="432" spans="2:5" ht="15">
      <c r="B432">
        <f t="shared" si="23"/>
        <v>1098</v>
      </c>
      <c r="C432">
        <f>_XLL.ENTROPY('simple Brayton Cycle'!$A$10,"PT",'T-s diagr. data'!$C$5,'T-s diagr. data'!B432-273.15)</f>
        <v>8.237743785683026</v>
      </c>
      <c r="E432">
        <f>_XLL.ENTROPY('simple Brayton Cycle'!$A$10,"PT",'T-s diagr. data'!$E$5,'T-s diagr. data'!B432-273.15)</f>
        <v>7.843584173463441</v>
      </c>
    </row>
    <row r="433" spans="2:5" ht="15">
      <c r="B433">
        <f t="shared" si="23"/>
        <v>1100</v>
      </c>
      <c r="C433">
        <f>_XLL.ENTROPY('simple Brayton Cycle'!$A$10,"PT",'T-s diagr. data'!$C$5,'T-s diagr. data'!B433-273.15)</f>
        <v>8.23984853155092</v>
      </c>
      <c r="E433">
        <f>_XLL.ENTROPY('simple Brayton Cycle'!$A$10,"PT",'T-s diagr. data'!$E$5,'T-s diagr. data'!B433-273.15)</f>
        <v>7.845688919331335</v>
      </c>
    </row>
    <row r="434" spans="2:5" ht="15">
      <c r="B434">
        <f t="shared" si="23"/>
        <v>1102</v>
      </c>
      <c r="C434">
        <f>_XLL.ENTROPY('simple Brayton Cycle'!$A$10,"PT",'T-s diagr. data'!$C$5,'T-s diagr. data'!B434-273.15)</f>
        <v>8.241950020884387</v>
      </c>
      <c r="E434">
        <f>_XLL.ENTROPY('simple Brayton Cycle'!$A$10,"PT",'T-s diagr. data'!$E$5,'T-s diagr. data'!B434-273.15)</f>
        <v>7.847790408664802</v>
      </c>
    </row>
    <row r="435" spans="2:5" ht="15">
      <c r="B435">
        <f t="shared" si="23"/>
        <v>1104</v>
      </c>
      <c r="C435">
        <f>_XLL.ENTROPY('simple Brayton Cycle'!$A$10,"PT",'T-s diagr. data'!$C$5,'T-s diagr. data'!B435-273.15)</f>
        <v>8.244048264465368</v>
      </c>
      <c r="E435">
        <f>_XLL.ENTROPY('simple Brayton Cycle'!$A$10,"PT",'T-s diagr. data'!$E$5,'T-s diagr. data'!B435-273.15)</f>
        <v>7.849888652245783</v>
      </c>
    </row>
    <row r="436" spans="2:5" ht="15">
      <c r="B436">
        <f t="shared" si="23"/>
        <v>1106</v>
      </c>
      <c r="C436">
        <f>_XLL.ENTROPY('simple Brayton Cycle'!$A$10,"PT",'T-s diagr. data'!$C$5,'T-s diagr. data'!B436-273.15)</f>
        <v>8.246143273018756</v>
      </c>
      <c r="E436">
        <f>_XLL.ENTROPY('simple Brayton Cycle'!$A$10,"PT",'T-s diagr. data'!$E$5,'T-s diagr. data'!B436-273.15)</f>
        <v>7.85198366079917</v>
      </c>
    </row>
    <row r="437" spans="2:5" ht="15">
      <c r="B437">
        <f t="shared" si="23"/>
        <v>1108</v>
      </c>
      <c r="C437">
        <f>_XLL.ENTROPY('simple Brayton Cycle'!$A$10,"PT",'T-s diagr. data'!$C$5,'T-s diagr. data'!B437-273.15)</f>
        <v>8.248235057212819</v>
      </c>
      <c r="E437">
        <f>_XLL.ENTROPY('simple Brayton Cycle'!$A$10,"PT",'T-s diagr. data'!$E$5,'T-s diagr. data'!B437-273.15)</f>
        <v>7.854075444993233</v>
      </c>
    </row>
    <row r="438" spans="2:5" ht="15">
      <c r="B438">
        <f t="shared" si="23"/>
        <v>1110</v>
      </c>
      <c r="C438">
        <f>_XLL.ENTROPY('simple Brayton Cycle'!$A$10,"PT",'T-s diagr. data'!$C$5,'T-s diagr. data'!B438-273.15)</f>
        <v>8.250323627659604</v>
      </c>
      <c r="E438">
        <f>_XLL.ENTROPY('simple Brayton Cycle'!$A$10,"PT",'T-s diagr. data'!$E$5,'T-s diagr. data'!B438-273.15)</f>
        <v>7.856164015440018</v>
      </c>
    </row>
    <row r="439" spans="2:5" ht="15">
      <c r="B439">
        <f t="shared" si="23"/>
        <v>1112</v>
      </c>
      <c r="C439">
        <f>_XLL.ENTROPY('simple Brayton Cycle'!$A$10,"PT",'T-s diagr. data'!$C$5,'T-s diagr. data'!B439-273.15)</f>
        <v>8.252408994915337</v>
      </c>
      <c r="E439">
        <f>_XLL.ENTROPY('simple Brayton Cycle'!$A$10,"PT",'T-s diagr. data'!$E$5,'T-s diagr. data'!B439-273.15)</f>
        <v>7.858249382695753</v>
      </c>
    </row>
    <row r="440" spans="2:5" ht="15">
      <c r="B440">
        <f t="shared" si="23"/>
        <v>1114</v>
      </c>
      <c r="C440">
        <f>_XLL.ENTROPY('simple Brayton Cycle'!$A$10,"PT",'T-s diagr. data'!$C$5,'T-s diagr. data'!B440-273.15)</f>
        <v>8.254491169480835</v>
      </c>
      <c r="E440">
        <f>_XLL.ENTROPY('simple Brayton Cycle'!$A$10,"PT",'T-s diagr. data'!$E$5,'T-s diagr. data'!B440-273.15)</f>
        <v>7.86033155726125</v>
      </c>
    </row>
    <row r="441" spans="2:5" ht="15">
      <c r="B441">
        <f t="shared" si="23"/>
        <v>1116</v>
      </c>
      <c r="C441">
        <f>_XLL.ENTROPY('simple Brayton Cycle'!$A$10,"PT",'T-s diagr. data'!$C$5,'T-s diagr. data'!B441-273.15)</f>
        <v>8.256570161801886</v>
      </c>
      <c r="E441">
        <f>_XLL.ENTROPY('simple Brayton Cycle'!$A$10,"PT",'T-s diagr. data'!$E$5,'T-s diagr. data'!B441-273.15)</f>
        <v>7.8624105495822985</v>
      </c>
    </row>
    <row r="442" spans="2:5" ht="15">
      <c r="B442">
        <f t="shared" si="23"/>
        <v>1118</v>
      </c>
      <c r="C442">
        <f>_XLL.ENTROPY('simple Brayton Cycle'!$A$10,"PT",'T-s diagr. data'!$C$5,'T-s diagr. data'!B442-273.15)</f>
        <v>8.258645982269643</v>
      </c>
      <c r="E442">
        <f>_XLL.ENTROPY('simple Brayton Cycle'!$A$10,"PT",'T-s diagr. data'!$E$5,'T-s diagr. data'!B442-273.15)</f>
        <v>7.86448637005006</v>
      </c>
    </row>
    <row r="443" spans="2:5" ht="15">
      <c r="B443">
        <f t="shared" si="23"/>
        <v>1120</v>
      </c>
      <c r="C443">
        <f>_XLL.ENTROPY('simple Brayton Cycle'!$A$10,"PT",'T-s diagr. data'!$C$5,'T-s diagr. data'!B443-273.15)</f>
        <v>8.260718641221041</v>
      </c>
      <c r="E443">
        <f>_XLL.ENTROPY('simple Brayton Cycle'!$A$10,"PT",'T-s diagr. data'!$E$5,'T-s diagr. data'!B443-273.15)</f>
        <v>7.866559029001457</v>
      </c>
    </row>
    <row r="444" spans="2:5" ht="15">
      <c r="B444">
        <f t="shared" si="23"/>
        <v>1122</v>
      </c>
      <c r="C444">
        <f>_XLL.ENTROPY('simple Brayton Cycle'!$A$10,"PT",'T-s diagr. data'!$C$5,'T-s diagr. data'!B444-273.15)</f>
        <v>8.262788148939146</v>
      </c>
      <c r="E444">
        <f>_XLL.ENTROPY('simple Brayton Cycle'!$A$10,"PT",'T-s diagr. data'!$E$5,'T-s diagr. data'!B444-273.15)</f>
        <v>7.868628536719562</v>
      </c>
    </row>
    <row r="445" spans="2:5" ht="15">
      <c r="B445">
        <f t="shared" si="23"/>
        <v>1124</v>
      </c>
      <c r="C445">
        <f>_XLL.ENTROPY('simple Brayton Cycle'!$A$10,"PT",'T-s diagr. data'!$C$5,'T-s diagr. data'!B445-273.15)</f>
        <v>8.264854515653557</v>
      </c>
      <c r="E445">
        <f>_XLL.ENTROPY('simple Brayton Cycle'!$A$10,"PT",'T-s diagr. data'!$E$5,'T-s diagr. data'!B445-273.15)</f>
        <v>7.870694903433974</v>
      </c>
    </row>
    <row r="446" spans="2:5" ht="15">
      <c r="B446">
        <f t="shared" si="23"/>
        <v>1126</v>
      </c>
      <c r="C446">
        <f>_XLL.ENTROPY('simple Brayton Cycle'!$A$10,"PT",'T-s diagr. data'!$C$5,'T-s diagr. data'!B446-273.15)</f>
        <v>8.266917751540785</v>
      </c>
      <c r="E446">
        <f>_XLL.ENTROPY('simple Brayton Cycle'!$A$10,"PT",'T-s diagr. data'!$E$5,'T-s diagr. data'!B446-273.15)</f>
        <v>7.872758139321201</v>
      </c>
    </row>
    <row r="447" spans="2:5" ht="15">
      <c r="B447">
        <f t="shared" si="23"/>
        <v>1128</v>
      </c>
      <c r="C447">
        <f>_XLL.ENTROPY('simple Brayton Cycle'!$A$10,"PT",'T-s diagr. data'!$C$5,'T-s diagr. data'!B447-273.15)</f>
        <v>8.268977866724622</v>
      </c>
      <c r="E447">
        <f>_XLL.ENTROPY('simple Brayton Cycle'!$A$10,"PT",'T-s diagr. data'!$E$5,'T-s diagr. data'!B447-273.15)</f>
        <v>7.874818254505038</v>
      </c>
    </row>
    <row r="448" spans="2:5" ht="15">
      <c r="B448">
        <f t="shared" si="23"/>
        <v>1130</v>
      </c>
      <c r="C448">
        <f>_XLL.ENTROPY('simple Brayton Cycle'!$A$10,"PT",'T-s diagr. data'!$C$5,'T-s diagr. data'!B448-273.15)</f>
        <v>8.271034871276518</v>
      </c>
      <c r="E448">
        <f>_XLL.ENTROPY('simple Brayton Cycle'!$A$10,"PT",'T-s diagr. data'!$E$5,'T-s diagr. data'!B448-273.15)</f>
        <v>7.876875259056932</v>
      </c>
    </row>
    <row r="449" spans="2:5" ht="15">
      <c r="B449">
        <f t="shared" si="23"/>
        <v>1132</v>
      </c>
      <c r="C449">
        <f>_XLL.ENTROPY('simple Brayton Cycle'!$A$10,"PT",'T-s diagr. data'!$C$5,'T-s diagr. data'!B449-273.15)</f>
        <v>8.273088775215951</v>
      </c>
      <c r="E449">
        <f>_XLL.ENTROPY('simple Brayton Cycle'!$A$10,"PT",'T-s diagr. data'!$E$5,'T-s diagr. data'!B449-273.15)</f>
        <v>7.878929162996366</v>
      </c>
    </row>
    <row r="450" spans="2:5" ht="15">
      <c r="B450">
        <f t="shared" si="23"/>
        <v>1134</v>
      </c>
      <c r="C450">
        <f>_XLL.ENTROPY('simple Brayton Cycle'!$A$10,"PT",'T-s diagr. data'!$C$5,'T-s diagr. data'!B450-273.15)</f>
        <v>8.275139588510784</v>
      </c>
      <c r="E450">
        <f>_XLL.ENTROPY('simple Brayton Cycle'!$A$10,"PT",'T-s diagr. data'!$E$5,'T-s diagr. data'!B450-273.15)</f>
        <v>7.880979976291202</v>
      </c>
    </row>
    <row r="451" spans="2:5" ht="15">
      <c r="B451">
        <f t="shared" si="23"/>
        <v>1136</v>
      </c>
      <c r="C451">
        <f>_XLL.ENTROPY('simple Brayton Cycle'!$A$10,"PT",'T-s diagr. data'!$C$5,'T-s diagr. data'!B451-273.15)</f>
        <v>8.277187321077651</v>
      </c>
      <c r="E451">
        <f>_XLL.ENTROPY('simple Brayton Cycle'!$A$10,"PT",'T-s diagr. data'!$E$5,'T-s diagr. data'!B451-273.15)</f>
        <v>7.883027708858069</v>
      </c>
    </row>
    <row r="452" spans="2:5" ht="15">
      <c r="B452">
        <f t="shared" si="23"/>
        <v>1138</v>
      </c>
      <c r="C452">
        <f>_XLL.ENTROPY('simple Brayton Cycle'!$A$10,"PT",'T-s diagr. data'!$C$5,'T-s diagr. data'!B452-273.15)</f>
        <v>8.279231982782285</v>
      </c>
      <c r="E452">
        <f>_XLL.ENTROPY('simple Brayton Cycle'!$A$10,"PT",'T-s diagr. data'!$E$5,'T-s diagr. data'!B452-273.15)</f>
        <v>7.8850723705627015</v>
      </c>
    </row>
    <row r="453" spans="2:5" ht="15">
      <c r="B453">
        <f t="shared" si="23"/>
        <v>1140</v>
      </c>
      <c r="C453">
        <f>_XLL.ENTROPY('simple Brayton Cycle'!$A$10,"PT",'T-s diagr. data'!$C$5,'T-s diagr. data'!B453-273.15)</f>
        <v>8.281273583439893</v>
      </c>
      <c r="E453">
        <f>_XLL.ENTROPY('simple Brayton Cycle'!$A$10,"PT",'T-s diagr. data'!$E$5,'T-s diagr. data'!B453-273.15)</f>
        <v>7.887113971220307</v>
      </c>
    </row>
    <row r="454" spans="2:5" ht="15">
      <c r="B454">
        <f t="shared" si="23"/>
        <v>1142</v>
      </c>
      <c r="C454">
        <f>_XLL.ENTROPY('simple Brayton Cycle'!$A$10,"PT",'T-s diagr. data'!$C$5,'T-s diagr. data'!B454-273.15)</f>
        <v>8.283312132815507</v>
      </c>
      <c r="E454">
        <f>_XLL.ENTROPY('simple Brayton Cycle'!$A$10,"PT",'T-s diagr. data'!$E$5,'T-s diagr. data'!B454-273.15)</f>
        <v>7.889152520595922</v>
      </c>
    </row>
    <row r="455" spans="2:5" ht="15">
      <c r="B455">
        <f t="shared" si="23"/>
        <v>1144</v>
      </c>
      <c r="C455">
        <f>_XLL.ENTROPY('simple Brayton Cycle'!$A$10,"PT",'T-s diagr. data'!$C$5,'T-s diagr. data'!B455-273.15)</f>
        <v>8.28534764062433</v>
      </c>
      <c r="E455">
        <f>_XLL.ENTROPY('simple Brayton Cycle'!$A$10,"PT",'T-s diagr. data'!$E$5,'T-s diagr. data'!B455-273.15)</f>
        <v>7.891188028404747</v>
      </c>
    </row>
    <row r="456" spans="2:5" ht="15">
      <c r="B456">
        <f t="shared" si="23"/>
        <v>1146</v>
      </c>
      <c r="C456">
        <f>_XLL.ENTROPY('simple Brayton Cycle'!$A$10,"PT",'T-s diagr. data'!$C$5,'T-s diagr. data'!B456-273.15)</f>
        <v>8.287380116532095</v>
      </c>
      <c r="E456">
        <f>_XLL.ENTROPY('simple Brayton Cycle'!$A$10,"PT",'T-s diagr. data'!$E$5,'T-s diagr. data'!B456-273.15)</f>
        <v>7.89322050431251</v>
      </c>
    </row>
    <row r="457" spans="2:5" ht="15">
      <c r="B457">
        <f t="shared" si="23"/>
        <v>1148</v>
      </c>
      <c r="C457">
        <f>_XLL.ENTROPY('simple Brayton Cycle'!$A$10,"PT",'T-s diagr. data'!$C$5,'T-s diagr. data'!B457-273.15)</f>
        <v>8.289409570155387</v>
      </c>
      <c r="E457">
        <f>_XLL.ENTROPY('simple Brayton Cycle'!$A$10,"PT",'T-s diagr. data'!$E$5,'T-s diagr. data'!B457-273.15)</f>
        <v>7.8952499579358015</v>
      </c>
    </row>
    <row r="458" spans="2:5" ht="15">
      <c r="B458">
        <f aca="true" t="shared" si="24" ref="B458:B521">B457+2</f>
        <v>1150</v>
      </c>
      <c r="C458">
        <f>_XLL.ENTROPY('simple Brayton Cycle'!$A$10,"PT",'T-s diagr. data'!$C$5,'T-s diagr. data'!B458-273.15)</f>
        <v>8.291436011062007</v>
      </c>
      <c r="E458">
        <f>_XLL.ENTROPY('simple Brayton Cycle'!$A$10,"PT",'T-s diagr. data'!$E$5,'T-s diagr. data'!B458-273.15)</f>
        <v>7.897276398842422</v>
      </c>
    </row>
    <row r="459" spans="2:5" ht="15">
      <c r="B459">
        <f t="shared" si="24"/>
        <v>1152</v>
      </c>
      <c r="C459">
        <f>_XLL.ENTROPY('simple Brayton Cycle'!$A$10,"PT",'T-s diagr. data'!$C$5,'T-s diagr. data'!B459-273.15)</f>
        <v>8.293459448771292</v>
      </c>
      <c r="E459">
        <f>_XLL.ENTROPY('simple Brayton Cycle'!$A$10,"PT",'T-s diagr. data'!$E$5,'T-s diagr. data'!B459-273.15)</f>
        <v>7.899299836551708</v>
      </c>
    </row>
    <row r="460" spans="2:5" ht="15">
      <c r="B460">
        <f t="shared" si="24"/>
        <v>1154</v>
      </c>
      <c r="C460">
        <f>_XLL.ENTROPY('simple Brayton Cycle'!$A$10,"PT",'T-s diagr. data'!$C$5,'T-s diagr. data'!B460-273.15)</f>
        <v>8.295479892754464</v>
      </c>
      <c r="E460">
        <f>_XLL.ENTROPY('simple Brayton Cycle'!$A$10,"PT",'T-s diagr. data'!$E$5,'T-s diagr. data'!B460-273.15)</f>
        <v>7.90132028053488</v>
      </c>
    </row>
    <row r="461" spans="2:5" ht="15">
      <c r="B461">
        <f t="shared" si="24"/>
        <v>1156</v>
      </c>
      <c r="C461">
        <f>_XLL.ENTROPY('simple Brayton Cycle'!$A$10,"PT",'T-s diagr. data'!$C$5,'T-s diagr. data'!B461-273.15)</f>
        <v>8.297497352434954</v>
      </c>
      <c r="E461">
        <f>_XLL.ENTROPY('simple Brayton Cycle'!$A$10,"PT",'T-s diagr. data'!$E$5,'T-s diagr. data'!B461-273.15)</f>
        <v>7.9033377402153695</v>
      </c>
    </row>
    <row r="462" spans="2:5" ht="15">
      <c r="B462">
        <f t="shared" si="24"/>
        <v>1158</v>
      </c>
      <c r="C462">
        <f>_XLL.ENTROPY('simple Brayton Cycle'!$A$10,"PT",'T-s diagr. data'!$C$5,'T-s diagr. data'!B462-273.15)</f>
        <v>8.29951183718873</v>
      </c>
      <c r="E462">
        <f>_XLL.ENTROPY('simple Brayton Cycle'!$A$10,"PT",'T-s diagr. data'!$E$5,'T-s diagr. data'!B462-273.15)</f>
        <v>7.905352224969145</v>
      </c>
    </row>
    <row r="463" spans="2:5" ht="15">
      <c r="B463">
        <f t="shared" si="24"/>
        <v>1160</v>
      </c>
      <c r="C463">
        <f>_XLL.ENTROPY('simple Brayton Cycle'!$A$10,"PT",'T-s diagr. data'!$C$5,'T-s diagr. data'!B463-273.15)</f>
        <v>8.301523356344635</v>
      </c>
      <c r="E463">
        <f>_XLL.ENTROPY('simple Brayton Cycle'!$A$10,"PT",'T-s diagr. data'!$E$5,'T-s diagr. data'!B463-273.15)</f>
        <v>7.9073637441250515</v>
      </c>
    </row>
    <row r="464" spans="2:5" ht="15">
      <c r="B464">
        <f t="shared" si="24"/>
        <v>1162</v>
      </c>
      <c r="C464">
        <f>_XLL.ENTROPY('simple Brayton Cycle'!$A$10,"PT",'T-s diagr. data'!$C$5,'T-s diagr. data'!B464-273.15)</f>
        <v>8.303531919184698</v>
      </c>
      <c r="E464">
        <f>_XLL.ENTROPY('simple Brayton Cycle'!$A$10,"PT",'T-s diagr. data'!$E$5,'T-s diagr. data'!B464-273.15)</f>
        <v>7.909372306965113</v>
      </c>
    </row>
    <row r="465" spans="2:5" ht="15">
      <c r="B465">
        <f t="shared" si="24"/>
        <v>1164</v>
      </c>
      <c r="C465">
        <f>_XLL.ENTROPY('simple Brayton Cycle'!$A$10,"PT",'T-s diagr. data'!$C$5,'T-s diagr. data'!B465-273.15)</f>
        <v>8.305537534944456</v>
      </c>
      <c r="E465">
        <f>_XLL.ENTROPY('simple Brayton Cycle'!$A$10,"PT",'T-s diagr. data'!$E$5,'T-s diagr. data'!B465-273.15)</f>
        <v>7.911377922724873</v>
      </c>
    </row>
    <row r="466" spans="2:5" ht="15">
      <c r="B466">
        <f t="shared" si="24"/>
        <v>1166</v>
      </c>
      <c r="C466">
        <f>_XLL.ENTROPY('simple Brayton Cycle'!$A$10,"PT",'T-s diagr. data'!$C$5,'T-s diagr. data'!B466-273.15)</f>
        <v>8.307540212813286</v>
      </c>
      <c r="E466">
        <f>_XLL.ENTROPY('simple Brayton Cycle'!$A$10,"PT",'T-s diagr. data'!$E$5,'T-s diagr. data'!B466-273.15)</f>
        <v>7.913380600593701</v>
      </c>
    </row>
    <row r="467" spans="2:5" ht="15">
      <c r="B467">
        <f t="shared" si="24"/>
        <v>1168</v>
      </c>
      <c r="C467">
        <f>_XLL.ENTROPY('simple Brayton Cycle'!$A$10,"PT",'T-s diagr. data'!$C$5,'T-s diagr. data'!B467-273.15)</f>
        <v>8.309539961934696</v>
      </c>
      <c r="E467">
        <f>_XLL.ENTROPY('simple Brayton Cycle'!$A$10,"PT",'T-s diagr. data'!$E$5,'T-s diagr. data'!B467-273.15)</f>
        <v>7.915380349715112</v>
      </c>
    </row>
    <row r="468" spans="2:5" ht="15">
      <c r="B468">
        <f t="shared" si="24"/>
        <v>1170</v>
      </c>
      <c r="C468">
        <f>_XLL.ENTROPY('simple Brayton Cycle'!$A$10,"PT",'T-s diagr. data'!$C$5,'T-s diagr. data'!B468-273.15)</f>
        <v>8.311536791406668</v>
      </c>
      <c r="E468">
        <f>_XLL.ENTROPY('simple Brayton Cycle'!$A$10,"PT",'T-s diagr. data'!$E$5,'T-s diagr. data'!B468-273.15)</f>
        <v>7.917377179187082</v>
      </c>
    </row>
    <row r="469" spans="2:5" ht="15">
      <c r="B469">
        <f t="shared" si="24"/>
        <v>1172</v>
      </c>
      <c r="C469">
        <f>_XLL.ENTROPY('simple Brayton Cycle'!$A$10,"PT",'T-s diagr. data'!$C$5,'T-s diagr. data'!B469-273.15)</f>
        <v>8.313530710281935</v>
      </c>
      <c r="E469">
        <f>_XLL.ENTROPY('simple Brayton Cycle'!$A$10,"PT",'T-s diagr. data'!$E$5,'T-s diagr. data'!B469-273.15)</f>
        <v>7.919371098062352</v>
      </c>
    </row>
    <row r="470" spans="2:5" ht="15">
      <c r="B470">
        <f t="shared" si="24"/>
        <v>1174</v>
      </c>
      <c r="C470">
        <f>_XLL.ENTROPY('simple Brayton Cycle'!$A$10,"PT",'T-s diagr. data'!$C$5,'T-s diagr. data'!B470-273.15)</f>
        <v>8.315521727568324</v>
      </c>
      <c r="E470">
        <f>_XLL.ENTROPY('simple Brayton Cycle'!$A$10,"PT",'T-s diagr. data'!$E$5,'T-s diagr. data'!B470-273.15)</f>
        <v>7.921362115348741</v>
      </c>
    </row>
    <row r="471" spans="2:5" ht="15">
      <c r="B471">
        <f t="shared" si="24"/>
        <v>1176</v>
      </c>
      <c r="C471">
        <f>_XLL.ENTROPY('simple Brayton Cycle'!$A$10,"PT",'T-s diagr. data'!$C$5,'T-s diagr. data'!B471-273.15)</f>
        <v>8.317509852229025</v>
      </c>
      <c r="E471">
        <f>_XLL.ENTROPY('simple Brayton Cycle'!$A$10,"PT",'T-s diagr. data'!$E$5,'T-s diagr. data'!B471-273.15)</f>
        <v>7.923350240009441</v>
      </c>
    </row>
    <row r="472" spans="2:5" ht="15">
      <c r="B472">
        <f t="shared" si="24"/>
        <v>1178</v>
      </c>
      <c r="C472">
        <f>_XLL.ENTROPY('simple Brayton Cycle'!$A$10,"PT",'T-s diagr. data'!$C$5,'T-s diagr. data'!B472-273.15)</f>
        <v>8.319495093182924</v>
      </c>
      <c r="E472">
        <f>_XLL.ENTROPY('simple Brayton Cycle'!$A$10,"PT",'T-s diagr. data'!$E$5,'T-s diagr. data'!B472-273.15)</f>
        <v>7.925335480963339</v>
      </c>
    </row>
    <row r="473" spans="2:5" ht="15">
      <c r="B473">
        <f t="shared" si="24"/>
        <v>1180</v>
      </c>
      <c r="C473">
        <f>_XLL.ENTROPY('simple Brayton Cycle'!$A$10,"PT",'T-s diagr. data'!$C$5,'T-s diagr. data'!B473-273.15)</f>
        <v>8.321477459304878</v>
      </c>
      <c r="E473">
        <f>_XLL.ENTROPY('simple Brayton Cycle'!$A$10,"PT",'T-s diagr. data'!$E$5,'T-s diagr. data'!B473-273.15)</f>
        <v>7.927317847085293</v>
      </c>
    </row>
    <row r="474" spans="2:5" ht="15">
      <c r="B474">
        <f t="shared" si="24"/>
        <v>1182</v>
      </c>
      <c r="C474">
        <f>_XLL.ENTROPY('simple Brayton Cycle'!$A$10,"PT",'T-s diagr. data'!$C$5,'T-s diagr. data'!B474-273.15)</f>
        <v>8.323456959426034</v>
      </c>
      <c r="E474">
        <f>_XLL.ENTROPY('simple Brayton Cycle'!$A$10,"PT",'T-s diagr. data'!$E$5,'T-s diagr. data'!B474-273.15)</f>
        <v>7.9292973472064485</v>
      </c>
    </row>
    <row r="475" spans="2:5" ht="15">
      <c r="B475">
        <f t="shared" si="24"/>
        <v>1184</v>
      </c>
      <c r="C475">
        <f>_XLL.ENTROPY('simple Brayton Cycle'!$A$10,"PT",'T-s diagr. data'!$C$5,'T-s diagr. data'!B475-273.15)</f>
        <v>8.3254336023341</v>
      </c>
      <c r="E475">
        <f>_XLL.ENTROPY('simple Brayton Cycle'!$A$10,"PT",'T-s diagr. data'!$E$5,'T-s diagr. data'!B475-273.15)</f>
        <v>7.931273990114515</v>
      </c>
    </row>
    <row r="476" spans="2:5" ht="15">
      <c r="B476">
        <f t="shared" si="24"/>
        <v>1186</v>
      </c>
      <c r="C476">
        <f>_XLL.ENTROPY('simple Brayton Cycle'!$A$10,"PT",'T-s diagr. data'!$C$5,'T-s diagr. data'!B476-273.15)</f>
        <v>8.327407396773662</v>
      </c>
      <c r="E476">
        <f>_XLL.ENTROPY('simple Brayton Cycle'!$A$10,"PT",'T-s diagr. data'!$E$5,'T-s diagr. data'!B476-273.15)</f>
        <v>7.933247784554078</v>
      </c>
    </row>
    <row r="477" spans="2:5" ht="15">
      <c r="B477">
        <f t="shared" si="24"/>
        <v>1188</v>
      </c>
      <c r="C477">
        <f>_XLL.ENTROPY('simple Brayton Cycle'!$A$10,"PT",'T-s diagr. data'!$C$5,'T-s diagr. data'!B477-273.15)</f>
        <v>8.329378351446458</v>
      </c>
      <c r="E477">
        <f>_XLL.ENTROPY('simple Brayton Cycle'!$A$10,"PT",'T-s diagr. data'!$E$5,'T-s diagr. data'!B477-273.15)</f>
        <v>7.9352187392268725</v>
      </c>
    </row>
    <row r="478" spans="2:5" ht="15">
      <c r="B478">
        <f t="shared" si="24"/>
        <v>1190</v>
      </c>
      <c r="C478">
        <f>_XLL.ENTROPY('simple Brayton Cycle'!$A$10,"PT",'T-s diagr. data'!$C$5,'T-s diagr. data'!B478-273.15)</f>
        <v>8.331346475011665</v>
      </c>
      <c r="E478">
        <f>_XLL.ENTROPY('simple Brayton Cycle'!$A$10,"PT",'T-s diagr. data'!$E$5,'T-s diagr. data'!B478-273.15)</f>
        <v>7.937186862792078</v>
      </c>
    </row>
    <row r="479" spans="2:5" ht="15">
      <c r="B479">
        <f t="shared" si="24"/>
        <v>1192</v>
      </c>
      <c r="C479">
        <f>_XLL.ENTROPY('simple Brayton Cycle'!$A$10,"PT",'T-s diagr. data'!$C$5,'T-s diagr. data'!B479-273.15)</f>
        <v>8.33331177608619</v>
      </c>
      <c r="E479">
        <f>_XLL.ENTROPY('simple Brayton Cycle'!$A$10,"PT",'T-s diagr. data'!$E$5,'T-s diagr. data'!B479-273.15)</f>
        <v>7.939152163866606</v>
      </c>
    </row>
    <row r="480" spans="2:5" ht="15">
      <c r="B480">
        <f t="shared" si="24"/>
        <v>1194</v>
      </c>
      <c r="C480">
        <f>_XLL.ENTROPY('simple Brayton Cycle'!$A$10,"PT",'T-s diagr. data'!$C$5,'T-s diagr. data'!B480-273.15)</f>
        <v>8.335274263244951</v>
      </c>
      <c r="E480">
        <f>_XLL.ENTROPY('simple Brayton Cycle'!$A$10,"PT",'T-s diagr. data'!$E$5,'T-s diagr. data'!B480-273.15)</f>
        <v>7.941114651025368</v>
      </c>
    </row>
    <row r="481" spans="2:5" ht="15">
      <c r="B481">
        <f t="shared" si="24"/>
        <v>1196</v>
      </c>
      <c r="C481">
        <f>_XLL.ENTROPY('simple Brayton Cycle'!$A$10,"PT",'T-s diagr. data'!$C$5,'T-s diagr. data'!B481-273.15)</f>
        <v>8.337233945021158</v>
      </c>
      <c r="E481">
        <f>_XLL.ENTROPY('simple Brayton Cycle'!$A$10,"PT",'T-s diagr. data'!$E$5,'T-s diagr. data'!B481-273.15)</f>
        <v>7.943074332801573</v>
      </c>
    </row>
    <row r="482" spans="2:5" ht="15">
      <c r="B482">
        <f t="shared" si="24"/>
        <v>1198</v>
      </c>
      <c r="C482">
        <f>_XLL.ENTROPY('simple Brayton Cycle'!$A$10,"PT",'T-s diagr. data'!$C$5,'T-s diagr. data'!B482-273.15)</f>
        <v>8.339190829906581</v>
      </c>
      <c r="E482">
        <f>_XLL.ENTROPY('simple Brayton Cycle'!$A$10,"PT",'T-s diagr. data'!$E$5,'T-s diagr. data'!B482-273.15)</f>
        <v>7.945031217686998</v>
      </c>
    </row>
    <row r="483" spans="2:5" ht="15">
      <c r="B483">
        <f t="shared" si="24"/>
        <v>1200</v>
      </c>
      <c r="C483">
        <f>_XLL.ENTROPY('simple Brayton Cycle'!$A$10,"PT",'T-s diagr. data'!$C$5,'T-s diagr. data'!B483-273.15)</f>
        <v>8.341144926351843</v>
      </c>
      <c r="E483">
        <f>_XLL.ENTROPY('simple Brayton Cycle'!$A$10,"PT",'T-s diagr. data'!$E$5,'T-s diagr. data'!B483-273.15)</f>
        <v>7.946985314132257</v>
      </c>
    </row>
    <row r="484" spans="2:5" ht="15">
      <c r="B484">
        <f t="shared" si="24"/>
        <v>1202</v>
      </c>
      <c r="C484">
        <f>_XLL.ENTROPY('simple Brayton Cycle'!$A$10,"PT",'T-s diagr. data'!$C$5,'T-s diagr. data'!B484-273.15)</f>
        <v>8.343096242766675</v>
      </c>
      <c r="E484">
        <f>_XLL.ENTROPY('simple Brayton Cycle'!$A$10,"PT",'T-s diagr. data'!$E$5,'T-s diagr. data'!B484-273.15)</f>
        <v>7.948936630547089</v>
      </c>
    </row>
    <row r="485" spans="2:5" ht="15">
      <c r="B485">
        <f t="shared" si="24"/>
        <v>1204</v>
      </c>
      <c r="C485">
        <f>_XLL.ENTROPY('simple Brayton Cycle'!$A$10,"PT",'T-s diagr. data'!$C$5,'T-s diagr. data'!B485-273.15)</f>
        <v>8.345044787520198</v>
      </c>
      <c r="E485">
        <f>_XLL.ENTROPY('simple Brayton Cycle'!$A$10,"PT",'T-s diagr. data'!$E$5,'T-s diagr. data'!B485-273.15)</f>
        <v>7.950885175300615</v>
      </c>
    </row>
    <row r="486" spans="2:5" ht="15">
      <c r="B486">
        <f t="shared" si="24"/>
        <v>1206</v>
      </c>
      <c r="C486">
        <f>_XLL.ENTROPY('simple Brayton Cycle'!$A$10,"PT",'T-s diagr. data'!$C$5,'T-s diagr. data'!B486-273.15)</f>
        <v>8.346990568941196</v>
      </c>
      <c r="E486">
        <f>_XLL.ENTROPY('simple Brayton Cycle'!$A$10,"PT",'T-s diagr. data'!$E$5,'T-s diagr. data'!B486-273.15)</f>
        <v>7.952830956721613</v>
      </c>
    </row>
    <row r="487" spans="2:5" ht="15">
      <c r="B487">
        <f t="shared" si="24"/>
        <v>1208</v>
      </c>
      <c r="C487">
        <f>_XLL.ENTROPY('simple Brayton Cycle'!$A$10,"PT",'T-s diagr. data'!$C$5,'T-s diagr. data'!B487-273.15)</f>
        <v>8.348933595318362</v>
      </c>
      <c r="E487">
        <f>_XLL.ENTROPY('simple Brayton Cycle'!$A$10,"PT",'T-s diagr. data'!$E$5,'T-s diagr. data'!B487-273.15)</f>
        <v>7.954773983098779</v>
      </c>
    </row>
    <row r="488" spans="2:5" ht="15">
      <c r="B488">
        <f t="shared" si="24"/>
        <v>1210</v>
      </c>
      <c r="C488">
        <f>_XLL.ENTROPY('simple Brayton Cycle'!$A$10,"PT",'T-s diagr. data'!$C$5,'T-s diagr. data'!B488-273.15)</f>
        <v>8.350873874900586</v>
      </c>
      <c r="E488">
        <f>_XLL.ENTROPY('simple Brayton Cycle'!$A$10,"PT",'T-s diagr. data'!$E$5,'T-s diagr. data'!B488-273.15)</f>
        <v>7.956714262681002</v>
      </c>
    </row>
    <row r="489" spans="2:5" ht="15">
      <c r="B489">
        <f t="shared" si="24"/>
        <v>1212</v>
      </c>
      <c r="C489">
        <f>_XLL.ENTROPY('simple Brayton Cycle'!$A$10,"PT",'T-s diagr. data'!$C$5,'T-s diagr. data'!B489-273.15)</f>
        <v>8.352811415897198</v>
      </c>
      <c r="E489">
        <f>_XLL.ENTROPY('simple Brayton Cycle'!$A$10,"PT",'T-s diagr. data'!$E$5,'T-s diagr. data'!B489-273.15)</f>
        <v>7.958651803677614</v>
      </c>
    </row>
    <row r="490" spans="2:5" ht="15">
      <c r="B490">
        <f t="shared" si="24"/>
        <v>1214</v>
      </c>
      <c r="C490">
        <f>_XLL.ENTROPY('simple Brayton Cycle'!$A$10,"PT",'T-s diagr. data'!$C$5,'T-s diagr. data'!B490-273.15)</f>
        <v>8.354746226478243</v>
      </c>
      <c r="E490">
        <f>_XLL.ENTROPY('simple Brayton Cycle'!$A$10,"PT",'T-s diagr. data'!$E$5,'T-s diagr. data'!B490-273.15)</f>
        <v>7.960586614258657</v>
      </c>
    </row>
    <row r="491" spans="2:5" ht="15">
      <c r="B491">
        <f t="shared" si="24"/>
        <v>1216</v>
      </c>
      <c r="C491">
        <f>_XLL.ENTROPY('simple Brayton Cycle'!$A$10,"PT",'T-s diagr. data'!$C$5,'T-s diagr. data'!B491-273.15)</f>
        <v>8.356678314774728</v>
      </c>
      <c r="E491">
        <f>_XLL.ENTROPY('simple Brayton Cycle'!$A$10,"PT",'T-s diagr. data'!$E$5,'T-s diagr. data'!B491-273.15)</f>
        <v>7.962518702555143</v>
      </c>
    </row>
    <row r="492" spans="2:5" ht="15">
      <c r="B492">
        <f t="shared" si="24"/>
        <v>1218</v>
      </c>
      <c r="C492">
        <f>_XLL.ENTROPY('simple Brayton Cycle'!$A$10,"PT",'T-s diagr. data'!$C$5,'T-s diagr. data'!B492-273.15)</f>
        <v>8.35860768887888</v>
      </c>
      <c r="E492">
        <f>_XLL.ENTROPY('simple Brayton Cycle'!$A$10,"PT",'T-s diagr. data'!$E$5,'T-s diagr. data'!B492-273.15)</f>
        <v>7.964448076659297</v>
      </c>
    </row>
    <row r="493" spans="2:5" ht="15">
      <c r="B493">
        <f t="shared" si="24"/>
        <v>1220</v>
      </c>
      <c r="C493">
        <f>_XLL.ENTROPY('simple Brayton Cycle'!$A$10,"PT",'T-s diagr. data'!$C$5,'T-s diagr. data'!B493-273.15)</f>
        <v>8.360534356844408</v>
      </c>
      <c r="E493">
        <f>_XLL.ENTROPY('simple Brayton Cycle'!$A$10,"PT",'T-s diagr. data'!$E$5,'T-s diagr. data'!B493-273.15)</f>
        <v>7.966374744624823</v>
      </c>
    </row>
    <row r="494" spans="2:5" ht="15">
      <c r="B494">
        <f t="shared" si="24"/>
        <v>1222</v>
      </c>
      <c r="C494">
        <f>_XLL.ENTROPY('simple Brayton Cycle'!$A$10,"PT",'T-s diagr. data'!$C$5,'T-s diagr. data'!B494-273.15)</f>
        <v>8.362458326686738</v>
      </c>
      <c r="E494">
        <f>_XLL.ENTROPY('simple Brayton Cycle'!$A$10,"PT",'T-s diagr. data'!$E$5,'T-s diagr. data'!B494-273.15)</f>
        <v>7.968298714467154</v>
      </c>
    </row>
    <row r="495" spans="2:5" ht="15">
      <c r="B495">
        <f t="shared" si="24"/>
        <v>1224</v>
      </c>
      <c r="C495">
        <f>_XLL.ENTROPY('simple Brayton Cycle'!$A$10,"PT",'T-s diagr. data'!$C$5,'T-s diagr. data'!B495-273.15)</f>
        <v>8.364379606383276</v>
      </c>
      <c r="E495">
        <f>_XLL.ENTROPY('simple Brayton Cycle'!$A$10,"PT",'T-s diagr. data'!$E$5,'T-s diagr. data'!B495-273.15)</f>
        <v>7.970219994163691</v>
      </c>
    </row>
    <row r="496" spans="2:5" ht="15">
      <c r="B496">
        <f t="shared" si="24"/>
        <v>1226</v>
      </c>
      <c r="C496">
        <f>_XLL.ENTROPY('simple Brayton Cycle'!$A$10,"PT",'T-s diagr. data'!$C$5,'T-s diagr. data'!B496-273.15)</f>
        <v>8.366298203873647</v>
      </c>
      <c r="E496">
        <f>_XLL.ENTROPY('simple Brayton Cycle'!$A$10,"PT",'T-s diagr. data'!$E$5,'T-s diagr. data'!B496-273.15)</f>
        <v>7.972138591654064</v>
      </c>
    </row>
    <row r="497" spans="2:5" ht="15">
      <c r="B497">
        <f t="shared" si="24"/>
        <v>1228</v>
      </c>
      <c r="C497">
        <f>_XLL.ENTROPY('simple Brayton Cycle'!$A$10,"PT",'T-s diagr. data'!$C$5,'T-s diagr. data'!B497-273.15)</f>
        <v>8.368214127059954</v>
      </c>
      <c r="E497">
        <f>_XLL.ENTROPY('simple Brayton Cycle'!$A$10,"PT",'T-s diagr. data'!$E$5,'T-s diagr. data'!B497-273.15)</f>
        <v>7.974054514840368</v>
      </c>
    </row>
    <row r="498" spans="2:5" ht="15">
      <c r="B498">
        <f t="shared" si="24"/>
        <v>1230</v>
      </c>
      <c r="C498">
        <f>_XLL.ENTROPY('simple Brayton Cycle'!$A$10,"PT",'T-s diagr. data'!$C$5,'T-s diagr. data'!B498-273.15)</f>
        <v>8.370127383806999</v>
      </c>
      <c r="E498">
        <f>_XLL.ENTROPY('simple Brayton Cycle'!$A$10,"PT",'T-s diagr. data'!$E$5,'T-s diagr. data'!B498-273.15)</f>
        <v>7.975967771587415</v>
      </c>
    </row>
    <row r="499" spans="2:5" ht="15">
      <c r="B499">
        <f t="shared" si="24"/>
        <v>1232</v>
      </c>
      <c r="C499">
        <f>_XLL.ENTROPY('simple Brayton Cycle'!$A$10,"PT",'T-s diagr. data'!$C$5,'T-s diagr. data'!B499-273.15)</f>
        <v>8.372037981942546</v>
      </c>
      <c r="E499">
        <f>_XLL.ENTROPY('simple Brayton Cycle'!$A$10,"PT",'T-s diagr. data'!$E$5,'T-s diagr. data'!B499-273.15)</f>
        <v>7.97787836972296</v>
      </c>
    </row>
    <row r="500" spans="2:5" ht="15">
      <c r="B500">
        <f t="shared" si="24"/>
        <v>1234</v>
      </c>
      <c r="C500">
        <f>_XLL.ENTROPY('simple Brayton Cycle'!$A$10,"PT",'T-s diagr. data'!$C$5,'T-s diagr. data'!B500-273.15)</f>
        <v>8.373945929257545</v>
      </c>
      <c r="E500">
        <f>_XLL.ENTROPY('simple Brayton Cycle'!$A$10,"PT",'T-s diagr. data'!$E$5,'T-s diagr. data'!B500-273.15)</f>
        <v>7.97978631703796</v>
      </c>
    </row>
    <row r="501" spans="2:5" ht="15">
      <c r="B501">
        <f t="shared" si="24"/>
        <v>1236</v>
      </c>
      <c r="C501">
        <f>_XLL.ENTROPY('simple Brayton Cycle'!$A$10,"PT",'T-s diagr. data'!$C$5,'T-s diagr. data'!B501-273.15)</f>
        <v>8.375851233506378</v>
      </c>
      <c r="E501">
        <f>_XLL.ENTROPY('simple Brayton Cycle'!$A$10,"PT",'T-s diagr. data'!$E$5,'T-s diagr. data'!B501-273.15)</f>
        <v>7.981691621286792</v>
      </c>
    </row>
    <row r="502" spans="2:5" ht="15">
      <c r="B502">
        <f t="shared" si="24"/>
        <v>1238</v>
      </c>
      <c r="C502">
        <f>_XLL.ENTROPY('simple Brayton Cycle'!$A$10,"PT",'T-s diagr. data'!$C$5,'T-s diagr. data'!B502-273.15)</f>
        <v>8.377753902407092</v>
      </c>
      <c r="E502">
        <f>_XLL.ENTROPY('simple Brayton Cycle'!$A$10,"PT",'T-s diagr. data'!$E$5,'T-s diagr. data'!B502-273.15)</f>
        <v>7.983594290187507</v>
      </c>
    </row>
    <row r="503" spans="2:5" ht="15">
      <c r="B503">
        <f t="shared" si="24"/>
        <v>1240</v>
      </c>
      <c r="C503">
        <f>_XLL.ENTROPY('simple Brayton Cycle'!$A$10,"PT",'T-s diagr. data'!$C$5,'T-s diagr. data'!B503-273.15)</f>
        <v>8.379653943641634</v>
      </c>
      <c r="E503">
        <f>_XLL.ENTROPY('simple Brayton Cycle'!$A$10,"PT",'T-s diagr. data'!$E$5,'T-s diagr. data'!B503-273.15)</f>
        <v>7.985494331422047</v>
      </c>
    </row>
    <row r="504" spans="2:5" ht="15">
      <c r="B504">
        <f t="shared" si="24"/>
        <v>1242</v>
      </c>
      <c r="C504">
        <f>_XLL.ENTROPY('simple Brayton Cycle'!$A$10,"PT",'T-s diagr. data'!$C$5,'T-s diagr. data'!B504-273.15)</f>
        <v>8.381551364856072</v>
      </c>
      <c r="E504">
        <f>_XLL.ENTROPY('simple Brayton Cycle'!$A$10,"PT",'T-s diagr. data'!$E$5,'T-s diagr. data'!B504-273.15)</f>
        <v>7.987391752636489</v>
      </c>
    </row>
    <row r="505" spans="2:5" ht="15">
      <c r="B505">
        <f t="shared" si="24"/>
        <v>1244</v>
      </c>
      <c r="C505">
        <f>_XLL.ENTROPY('simple Brayton Cycle'!$A$10,"PT",'T-s diagr. data'!$C$5,'T-s diagr. data'!B505-273.15)</f>
        <v>8.38344617366085</v>
      </c>
      <c r="E505">
        <f>_XLL.ENTROPY('simple Brayton Cycle'!$A$10,"PT",'T-s diagr. data'!$E$5,'T-s diagr. data'!B505-273.15)</f>
        <v>7.989286561441266</v>
      </c>
    </row>
    <row r="506" spans="2:5" ht="15">
      <c r="B506">
        <f t="shared" si="24"/>
        <v>1246</v>
      </c>
      <c r="C506">
        <f>_XLL.ENTROPY('simple Brayton Cycle'!$A$10,"PT",'T-s diagr. data'!$C$5,'T-s diagr. data'!B506-273.15)</f>
        <v>8.385338377630985</v>
      </c>
      <c r="E506">
        <f>_XLL.ENTROPY('simple Brayton Cycle'!$A$10,"PT",'T-s diagr. data'!$E$5,'T-s diagr. data'!B506-273.15)</f>
        <v>7.991178765411403</v>
      </c>
    </row>
    <row r="507" spans="2:5" ht="15">
      <c r="B507">
        <f t="shared" si="24"/>
        <v>1248</v>
      </c>
      <c r="C507">
        <f>_XLL.ENTROPY('simple Brayton Cycle'!$A$10,"PT",'T-s diagr. data'!$C$5,'T-s diagr. data'!B507-273.15)</f>
        <v>8.387227984306325</v>
      </c>
      <c r="E507">
        <f>_XLL.ENTROPY('simple Brayton Cycle'!$A$10,"PT",'T-s diagr. data'!$E$5,'T-s diagr. data'!B507-273.15)</f>
        <v>7.99306837208674</v>
      </c>
    </row>
    <row r="508" spans="2:5" ht="15">
      <c r="B508">
        <f t="shared" si="24"/>
        <v>1250</v>
      </c>
      <c r="C508">
        <f>_XLL.ENTROPY('simple Brayton Cycle'!$A$10,"PT",'T-s diagr. data'!$C$5,'T-s diagr. data'!B508-273.15)</f>
        <v>8.389115001191733</v>
      </c>
      <c r="E508">
        <f>_XLL.ENTROPY('simple Brayton Cycle'!$A$10,"PT",'T-s diagr. data'!$E$5,'T-s diagr. data'!B508-273.15)</f>
        <v>7.994955388972147</v>
      </c>
    </row>
    <row r="509" spans="2:5" ht="15">
      <c r="B509">
        <f t="shared" si="24"/>
        <v>1252</v>
      </c>
      <c r="C509">
        <f>_XLL.ENTROPY('simple Brayton Cycle'!$A$10,"PT",'T-s diagr. data'!$C$5,'T-s diagr. data'!B509-273.15)</f>
        <v>8.390999435757355</v>
      </c>
      <c r="E509">
        <f>_XLL.ENTROPY('simple Brayton Cycle'!$A$10,"PT",'T-s diagr. data'!$E$5,'T-s diagr. data'!B509-273.15)</f>
        <v>7.99683982353777</v>
      </c>
    </row>
    <row r="510" spans="2:5" ht="15">
      <c r="B510">
        <f t="shared" si="24"/>
        <v>1254</v>
      </c>
      <c r="C510">
        <f>_XLL.ENTROPY('simple Brayton Cycle'!$A$10,"PT",'T-s diagr. data'!$C$5,'T-s diagr. data'!B510-273.15)</f>
        <v>8.392881295438807</v>
      </c>
      <c r="E510">
        <f>_XLL.ENTROPY('simple Brayton Cycle'!$A$10,"PT",'T-s diagr. data'!$E$5,'T-s diagr. data'!B510-273.15)</f>
        <v>7.998721683219222</v>
      </c>
    </row>
    <row r="511" spans="2:5" ht="15">
      <c r="B511">
        <f t="shared" si="24"/>
        <v>1256</v>
      </c>
      <c r="C511">
        <f>_XLL.ENTROPY('simple Brayton Cycle'!$A$10,"PT",'T-s diagr. data'!$C$5,'T-s diagr. data'!B511-273.15)</f>
        <v>8.394760587637412</v>
      </c>
      <c r="E511">
        <f>_XLL.ENTROPY('simple Brayton Cycle'!$A$10,"PT",'T-s diagr. data'!$E$5,'T-s diagr. data'!B511-273.15)</f>
        <v>8.000600975417829</v>
      </c>
    </row>
    <row r="512" spans="2:5" ht="15">
      <c r="B512">
        <f t="shared" si="24"/>
        <v>1258</v>
      </c>
      <c r="C512">
        <f>_XLL.ENTROPY('simple Brayton Cycle'!$A$10,"PT",'T-s diagr. data'!$C$5,'T-s diagr. data'!B512-273.15)</f>
        <v>8.396637319720407</v>
      </c>
      <c r="E512">
        <f>_XLL.ENTROPY('simple Brayton Cycle'!$A$10,"PT",'T-s diagr. data'!$E$5,'T-s diagr. data'!B512-273.15)</f>
        <v>8.002477707500825</v>
      </c>
    </row>
    <row r="513" spans="2:5" ht="15">
      <c r="B513">
        <f t="shared" si="24"/>
        <v>1260</v>
      </c>
      <c r="C513">
        <f>_XLL.ENTROPY('simple Brayton Cycle'!$A$10,"PT",'T-s diagr. data'!$C$5,'T-s diagr. data'!B513-273.15)</f>
        <v>8.398511499021168</v>
      </c>
      <c r="E513">
        <f>_XLL.ENTROPY('simple Brayton Cycle'!$A$10,"PT",'T-s diagr. data'!$E$5,'T-s diagr. data'!B513-273.15)</f>
        <v>8.004351886801585</v>
      </c>
    </row>
    <row r="514" spans="2:5" ht="15">
      <c r="B514">
        <f t="shared" si="24"/>
        <v>1262</v>
      </c>
      <c r="C514">
        <f>_XLL.ENTROPY('simple Brayton Cycle'!$A$10,"PT",'T-s diagr. data'!$C$5,'T-s diagr. data'!B514-273.15)</f>
        <v>8.40038313283941</v>
      </c>
      <c r="E514">
        <f>_XLL.ENTROPY('simple Brayton Cycle'!$A$10,"PT",'T-s diagr. data'!$E$5,'T-s diagr. data'!B514-273.15)</f>
        <v>8.006223520619827</v>
      </c>
    </row>
    <row r="515" spans="2:5" ht="15">
      <c r="B515">
        <f t="shared" si="24"/>
        <v>1264</v>
      </c>
      <c r="C515">
        <f>_XLL.ENTROPY('simple Brayton Cycle'!$A$10,"PT",'T-s diagr. data'!$C$5,'T-s diagr. data'!B515-273.15)</f>
        <v>8.40225222844142</v>
      </c>
      <c r="E515">
        <f>_XLL.ENTROPY('simple Brayton Cycle'!$A$10,"PT",'T-s diagr. data'!$E$5,'T-s diagr. data'!B515-273.15)</f>
        <v>8.008092616221834</v>
      </c>
    </row>
    <row r="516" spans="2:5" ht="15">
      <c r="B516">
        <f t="shared" si="24"/>
        <v>1266</v>
      </c>
      <c r="C516">
        <f>_XLL.ENTROPY('simple Brayton Cycle'!$A$10,"PT",'T-s diagr. data'!$C$5,'T-s diagr. data'!B516-273.15)</f>
        <v>8.40411879306024</v>
      </c>
      <c r="E516">
        <f>_XLL.ENTROPY('simple Brayton Cycle'!$A$10,"PT",'T-s diagr. data'!$E$5,'T-s diagr. data'!B516-273.15)</f>
        <v>8.009959180840658</v>
      </c>
    </row>
    <row r="517" spans="2:5" ht="15">
      <c r="B517">
        <f t="shared" si="24"/>
        <v>1268</v>
      </c>
      <c r="C517">
        <f>_XLL.ENTROPY('simple Brayton Cycle'!$A$10,"PT",'T-s diagr. data'!$C$5,'T-s diagr. data'!B517-273.15)</f>
        <v>8.405982833895909</v>
      </c>
      <c r="E517">
        <f>_XLL.ENTROPY('simple Brayton Cycle'!$A$10,"PT",'T-s diagr. data'!$E$5,'T-s diagr. data'!B517-273.15)</f>
        <v>8.011823221676325</v>
      </c>
    </row>
    <row r="518" spans="2:5" ht="15">
      <c r="B518">
        <f t="shared" si="24"/>
        <v>1270</v>
      </c>
      <c r="C518">
        <f>_XLL.ENTROPY('simple Brayton Cycle'!$A$10,"PT",'T-s diagr. data'!$C$5,'T-s diagr. data'!B518-273.15)</f>
        <v>8.407844358115641</v>
      </c>
      <c r="E518">
        <f>_XLL.ENTROPY('simple Brayton Cycle'!$A$10,"PT",'T-s diagr. data'!$E$5,'T-s diagr. data'!B518-273.15)</f>
        <v>8.013684745896056</v>
      </c>
    </row>
    <row r="519" spans="2:5" ht="15">
      <c r="B519">
        <f t="shared" si="24"/>
        <v>1272</v>
      </c>
      <c r="C519">
        <f>_XLL.ENTROPY('simple Brayton Cycle'!$A$10,"PT",'T-s diagr. data'!$C$5,'T-s diagr. data'!B519-273.15)</f>
        <v>8.40970337285404</v>
      </c>
      <c r="E519">
        <f>_XLL.ENTROPY('simple Brayton Cycle'!$A$10,"PT",'T-s diagr. data'!$E$5,'T-s diagr. data'!B519-273.15)</f>
        <v>8.015543760634456</v>
      </c>
    </row>
    <row r="520" spans="2:5" ht="15">
      <c r="B520">
        <f t="shared" si="24"/>
        <v>1274</v>
      </c>
      <c r="C520">
        <f>_XLL.ENTROPY('simple Brayton Cycle'!$A$10,"PT",'T-s diagr. data'!$C$5,'T-s diagr. data'!B520-273.15)</f>
        <v>8.411559885213315</v>
      </c>
      <c r="E520">
        <f>_XLL.ENTROPY('simple Brayton Cycle'!$A$10,"PT",'T-s diagr. data'!$E$5,'T-s diagr. data'!B520-273.15)</f>
        <v>8.01740027299373</v>
      </c>
    </row>
    <row r="521" spans="2:5" ht="15">
      <c r="B521">
        <f t="shared" si="24"/>
        <v>1276</v>
      </c>
      <c r="C521">
        <f>_XLL.ENTROPY('simple Brayton Cycle'!$A$10,"PT",'T-s diagr. data'!$C$5,'T-s diagr. data'!B521-273.15)</f>
        <v>8.413413902263466</v>
      </c>
      <c r="E521">
        <f>_XLL.ENTROPY('simple Brayton Cycle'!$A$10,"PT",'T-s diagr. data'!$E$5,'T-s diagr. data'!B521-273.15)</f>
        <v>8.019254290043882</v>
      </c>
    </row>
    <row r="522" spans="2:5" ht="15">
      <c r="B522">
        <f aca="true" t="shared" si="25" ref="B522:B583">B521+2</f>
        <v>1278</v>
      </c>
      <c r="C522">
        <f>_XLL.ENTROPY('simple Brayton Cycle'!$A$10,"PT",'T-s diagr. data'!$C$5,'T-s diagr. data'!B522-273.15)</f>
        <v>8.415265431042496</v>
      </c>
      <c r="E522">
        <f>_XLL.ENTROPY('simple Brayton Cycle'!$A$10,"PT",'T-s diagr. data'!$E$5,'T-s diagr. data'!B522-273.15)</f>
        <v>8.02110581882291</v>
      </c>
    </row>
    <row r="523" spans="2:5" ht="15">
      <c r="B523">
        <f t="shared" si="25"/>
        <v>1280</v>
      </c>
      <c r="C523">
        <f>_XLL.ENTROPY('simple Brayton Cycle'!$A$10,"PT",'T-s diagr. data'!$C$5,'T-s diagr. data'!B523-273.15)</f>
        <v>8.417114478556602</v>
      </c>
      <c r="E523">
        <f>_XLL.ENTROPY('simple Brayton Cycle'!$A$10,"PT",'T-s diagr. data'!$E$5,'T-s diagr. data'!B523-273.15)</f>
        <v>8.022954866337018</v>
      </c>
    </row>
    <row r="524" spans="2:5" ht="15">
      <c r="B524">
        <f t="shared" si="25"/>
        <v>1282</v>
      </c>
      <c r="C524">
        <f>_XLL.ENTROPY('simple Brayton Cycle'!$A$10,"PT",'T-s diagr. data'!$C$5,'T-s diagr. data'!B524-273.15)</f>
        <v>8.418961051780384</v>
      </c>
      <c r="E524">
        <f>_XLL.ENTROPY('simple Brayton Cycle'!$A$10,"PT",'T-s diagr. data'!$E$5,'T-s diagr. data'!B524-273.15)</f>
        <v>8.024801439560798</v>
      </c>
    </row>
    <row r="525" spans="2:5" ht="15">
      <c r="B525">
        <f t="shared" si="25"/>
        <v>1284</v>
      </c>
      <c r="C525">
        <f>_XLL.ENTROPY('simple Brayton Cycle'!$A$10,"PT",'T-s diagr. data'!$C$5,'T-s diagr. data'!B525-273.15)</f>
        <v>8.420805157657025</v>
      </c>
      <c r="E525">
        <f>_XLL.ENTROPY('simple Brayton Cycle'!$A$10,"PT",'T-s diagr. data'!$E$5,'T-s diagr. data'!B525-273.15)</f>
        <v>8.02664554543744</v>
      </c>
    </row>
    <row r="526" spans="2:5" ht="15">
      <c r="B526">
        <f t="shared" si="25"/>
        <v>1286</v>
      </c>
      <c r="C526">
        <f>_XLL.ENTROPY('simple Brayton Cycle'!$A$10,"PT",'T-s diagr. data'!$C$5,'T-s diagr. data'!B526-273.15)</f>
        <v>8.4226468030985</v>
      </c>
      <c r="E526">
        <f>_XLL.ENTROPY('simple Brayton Cycle'!$A$10,"PT",'T-s diagr. data'!$E$5,'T-s diagr. data'!B526-273.15)</f>
        <v>8.028487190878913</v>
      </c>
    </row>
    <row r="527" spans="2:5" ht="15">
      <c r="B527">
        <f t="shared" si="25"/>
        <v>1288</v>
      </c>
      <c r="C527">
        <f>_XLL.ENTROPY('simple Brayton Cycle'!$A$10,"PT",'T-s diagr. data'!$C$5,'T-s diagr. data'!B527-273.15)</f>
        <v>8.42448599498576</v>
      </c>
      <c r="E527">
        <f>_XLL.ENTROPY('simple Brayton Cycle'!$A$10,"PT",'T-s diagr. data'!$E$5,'T-s diagr. data'!B527-273.15)</f>
        <v>8.030326382766177</v>
      </c>
    </row>
    <row r="528" spans="2:5" ht="15">
      <c r="B528">
        <f t="shared" si="25"/>
        <v>1290</v>
      </c>
      <c r="C528">
        <f>_XLL.ENTROPY('simple Brayton Cycle'!$A$10,"PT",'T-s diagr. data'!$C$5,'T-s diagr. data'!B528-273.15)</f>
        <v>8.426322740168931</v>
      </c>
      <c r="E528">
        <f>_XLL.ENTROPY('simple Brayton Cycle'!$A$10,"PT",'T-s diagr. data'!$E$5,'T-s diagr. data'!B528-273.15)</f>
        <v>8.03216312794935</v>
      </c>
    </row>
    <row r="529" spans="2:5" ht="15">
      <c r="B529">
        <f t="shared" si="25"/>
        <v>1292</v>
      </c>
      <c r="C529">
        <f>_XLL.ENTROPY('simple Brayton Cycle'!$A$10,"PT",'T-s diagr. data'!$C$5,'T-s diagr. data'!B529-273.15)</f>
        <v>8.428157045467502</v>
      </c>
      <c r="E529">
        <f>_XLL.ENTROPY('simple Brayton Cycle'!$A$10,"PT",'T-s diagr. data'!$E$5,'T-s diagr. data'!B529-273.15)</f>
        <v>8.033997433247917</v>
      </c>
    </row>
    <row r="530" spans="2:5" ht="15">
      <c r="B530">
        <f t="shared" si="25"/>
        <v>1294</v>
      </c>
      <c r="C530">
        <f>_XLL.ENTROPY('simple Brayton Cycle'!$A$10,"PT",'T-s diagr. data'!$C$5,'T-s diagr. data'!B530-273.15)</f>
        <v>8.429988917670501</v>
      </c>
      <c r="E530">
        <f>_XLL.ENTROPY('simple Brayton Cycle'!$A$10,"PT",'T-s diagr. data'!$E$5,'T-s diagr. data'!B530-273.15)</f>
        <v>8.035829305450918</v>
      </c>
    </row>
    <row r="531" spans="2:5" ht="15">
      <c r="B531">
        <f t="shared" si="25"/>
        <v>1296</v>
      </c>
      <c r="C531">
        <f>_XLL.ENTROPY('simple Brayton Cycle'!$A$10,"PT",'T-s diagr. data'!$C$5,'T-s diagr. data'!B531-273.15)</f>
        <v>8.431818363536705</v>
      </c>
      <c r="E531">
        <f>_XLL.ENTROPY('simple Brayton Cycle'!$A$10,"PT",'T-s diagr. data'!$E$5,'T-s diagr. data'!B531-273.15)</f>
        <v>8.037658751317121</v>
      </c>
    </row>
    <row r="532" spans="2:5" ht="15">
      <c r="B532">
        <f t="shared" si="25"/>
        <v>1298</v>
      </c>
      <c r="C532">
        <f>_XLL.ENTROPY('simple Brayton Cycle'!$A$10,"PT",'T-s diagr. data'!$C$5,'T-s diagr. data'!B532-273.15)</f>
        <v>8.433645389794805</v>
      </c>
      <c r="E532">
        <f>_XLL.ENTROPY('simple Brayton Cycle'!$A$10,"PT",'T-s diagr. data'!$E$5,'T-s diagr. data'!B532-273.15)</f>
        <v>8.039485777575221</v>
      </c>
    </row>
    <row r="533" spans="2:5" ht="15">
      <c r="B533">
        <f t="shared" si="25"/>
        <v>1300</v>
      </c>
      <c r="C533">
        <f>_XLL.ENTROPY('simple Brayton Cycle'!$A$10,"PT",'T-s diagr. data'!$C$5,'T-s diagr. data'!B533-273.15)</f>
        <v>8.435470003143605</v>
      </c>
      <c r="E533">
        <f>_XLL.ENTROPY('simple Brayton Cycle'!$A$10,"PT",'T-s diagr. data'!$E$5,'T-s diagr. data'!B533-273.15)</f>
        <v>8.04131039092402</v>
      </c>
    </row>
    <row r="534" spans="2:5" ht="15">
      <c r="B534">
        <f t="shared" si="25"/>
        <v>1302</v>
      </c>
      <c r="C534">
        <f>_XLL.ENTROPY('simple Brayton Cycle'!$A$10,"PT",'T-s diagr. data'!$C$5,'T-s diagr. data'!B534-273.15)</f>
        <v>8.437292210252192</v>
      </c>
      <c r="E534">
        <f>_XLL.ENTROPY('simple Brayton Cycle'!$A$10,"PT",'T-s diagr. data'!$E$5,'T-s diagr. data'!B534-273.15)</f>
        <v>8.043132598032606</v>
      </c>
    </row>
    <row r="535" spans="2:5" ht="15">
      <c r="B535">
        <f t="shared" si="25"/>
        <v>1304</v>
      </c>
      <c r="C535">
        <f>_XLL.ENTROPY('simple Brayton Cycle'!$A$10,"PT",'T-s diagr. data'!$C$5,'T-s diagr. data'!B535-273.15)</f>
        <v>8.439112017760129</v>
      </c>
      <c r="E535">
        <f>_XLL.ENTROPY('simple Brayton Cycle'!$A$10,"PT",'T-s diagr. data'!$E$5,'T-s diagr. data'!B535-273.15)</f>
        <v>8.044952405540545</v>
      </c>
    </row>
    <row r="536" spans="2:5" ht="15">
      <c r="B536">
        <f t="shared" si="25"/>
        <v>1306</v>
      </c>
      <c r="C536">
        <f>_XLL.ENTROPY('simple Brayton Cycle'!$A$10,"PT",'T-s diagr. data'!$C$5,'T-s diagr. data'!B536-273.15)</f>
        <v>8.440929432277631</v>
      </c>
      <c r="E536">
        <f>_XLL.ENTROPY('simple Brayton Cycle'!$A$10,"PT",'T-s diagr. data'!$E$5,'T-s diagr. data'!B536-273.15)</f>
        <v>8.046769820058048</v>
      </c>
    </row>
    <row r="537" spans="2:5" ht="15">
      <c r="B537">
        <f t="shared" si="25"/>
        <v>1308</v>
      </c>
      <c r="C537">
        <f>_XLL.ENTROPY('simple Brayton Cycle'!$A$10,"PT",'T-s diagr. data'!$C$5,'T-s diagr. data'!B537-273.15)</f>
        <v>8.44274446038574</v>
      </c>
      <c r="E537">
        <f>_XLL.ENTROPY('simple Brayton Cycle'!$A$10,"PT",'T-s diagr. data'!$E$5,'T-s diagr. data'!B537-273.15)</f>
        <v>8.048584848166156</v>
      </c>
    </row>
    <row r="538" spans="2:5" ht="15">
      <c r="B538">
        <f t="shared" si="25"/>
        <v>1310</v>
      </c>
      <c r="C538">
        <f>_XLL.ENTROPY('simple Brayton Cycle'!$A$10,"PT",'T-s diagr. data'!$C$5,'T-s diagr. data'!B538-273.15)</f>
        <v>8.444557108636504</v>
      </c>
      <c r="E538">
        <f>_XLL.ENTROPY('simple Brayton Cycle'!$A$10,"PT",'T-s diagr. data'!$E$5,'T-s diagr. data'!B538-273.15)</f>
        <v>8.05039749641692</v>
      </c>
    </row>
    <row r="539" spans="2:5" ht="15">
      <c r="B539">
        <f t="shared" si="25"/>
        <v>1312</v>
      </c>
      <c r="C539">
        <f>_XLL.ENTROPY('simple Brayton Cycle'!$A$10,"PT",'T-s diagr. data'!$C$5,'T-s diagr. data'!B539-273.15)</f>
        <v>8.446367383553158</v>
      </c>
      <c r="E539">
        <f>_XLL.ENTROPY('simple Brayton Cycle'!$A$10,"PT",'T-s diagr. data'!$E$5,'T-s diagr. data'!B539-273.15)</f>
        <v>8.052207771333574</v>
      </c>
    </row>
    <row r="540" spans="2:5" ht="15">
      <c r="B540">
        <f t="shared" si="25"/>
        <v>1314</v>
      </c>
      <c r="C540">
        <f>_XLL.ENTROPY('simple Brayton Cycle'!$A$10,"PT",'T-s diagr. data'!$C$5,'T-s diagr. data'!B540-273.15)</f>
        <v>8.44817529163029</v>
      </c>
      <c r="E540">
        <f>_XLL.ENTROPY('simple Brayton Cycle'!$A$10,"PT",'T-s diagr. data'!$E$5,'T-s diagr. data'!B540-273.15)</f>
        <v>8.054015679410705</v>
      </c>
    </row>
    <row r="541" spans="2:5" ht="15">
      <c r="B541">
        <f t="shared" si="25"/>
        <v>1316</v>
      </c>
      <c r="C541">
        <f>_XLL.ENTROPY('simple Brayton Cycle'!$A$10,"PT",'T-s diagr. data'!$C$5,'T-s diagr. data'!B541-273.15)</f>
        <v>8.449980839334026</v>
      </c>
      <c r="E541">
        <f>_XLL.ENTROPY('simple Brayton Cycle'!$A$10,"PT",'T-s diagr. data'!$E$5,'T-s diagr. data'!B541-273.15)</f>
        <v>8.055821227114441</v>
      </c>
    </row>
    <row r="542" spans="2:5" ht="15">
      <c r="B542">
        <f t="shared" si="25"/>
        <v>1318</v>
      </c>
      <c r="C542">
        <f>_XLL.ENTROPY('simple Brayton Cycle'!$A$10,"PT",'T-s diagr. data'!$C$5,'T-s diagr. data'!B542-273.15)</f>
        <v>8.45178403310219</v>
      </c>
      <c r="E542">
        <f>_XLL.ENTROPY('simple Brayton Cycle'!$A$10,"PT",'T-s diagr. data'!$E$5,'T-s diagr. data'!B542-273.15)</f>
        <v>8.057624420882602</v>
      </c>
    </row>
    <row r="543" spans="2:5" ht="15">
      <c r="B543">
        <f t="shared" si="25"/>
        <v>1320</v>
      </c>
      <c r="C543">
        <f>_XLL.ENTROPY('simple Brayton Cycle'!$A$10,"PT",'T-s diagr. data'!$C$5,'T-s diagr. data'!B543-273.15)</f>
        <v>8.453584879344474</v>
      </c>
      <c r="E543">
        <f>_XLL.ENTROPY('simple Brayton Cycle'!$A$10,"PT",'T-s diagr. data'!$E$5,'T-s diagr. data'!B543-273.15)</f>
        <v>8.05942526712489</v>
      </c>
    </row>
    <row r="544" spans="2:5" ht="15">
      <c r="B544">
        <f t="shared" si="25"/>
        <v>1322</v>
      </c>
      <c r="C544">
        <f>_XLL.ENTROPY('simple Brayton Cycle'!$A$10,"PT",'T-s diagr. data'!$C$5,'T-s diagr. data'!B544-273.15)</f>
        <v>8.455383384442628</v>
      </c>
      <c r="E544">
        <f>_XLL.ENTROPY('simple Brayton Cycle'!$A$10,"PT",'T-s diagr. data'!$E$5,'T-s diagr. data'!B544-273.15)</f>
        <v>8.061223772223045</v>
      </c>
    </row>
    <row r="545" spans="2:5" ht="15">
      <c r="B545">
        <f t="shared" si="25"/>
        <v>1324</v>
      </c>
      <c r="C545">
        <f>_XLL.ENTROPY('simple Brayton Cycle'!$A$10,"PT",'T-s diagr. data'!$C$5,'T-s diagr. data'!B545-273.15)</f>
        <v>8.457179554750603</v>
      </c>
      <c r="E545">
        <f>_XLL.ENTROPY('simple Brayton Cycle'!$A$10,"PT",'T-s diagr. data'!$E$5,'T-s diagr. data'!B545-273.15)</f>
        <v>8.063019942531017</v>
      </c>
    </row>
    <row r="546" spans="2:5" ht="15">
      <c r="B546">
        <f t="shared" si="25"/>
        <v>1326</v>
      </c>
      <c r="C546">
        <f>_XLL.ENTROPY('simple Brayton Cycle'!$A$10,"PT",'T-s diagr. data'!$C$5,'T-s diagr. data'!B546-273.15)</f>
        <v>8.458973396594725</v>
      </c>
      <c r="E546">
        <f>_XLL.ENTROPY('simple Brayton Cycle'!$A$10,"PT",'T-s diagr. data'!$E$5,'T-s diagr. data'!B546-273.15)</f>
        <v>8.064813784375142</v>
      </c>
    </row>
    <row r="547" spans="2:5" ht="15">
      <c r="B547">
        <f t="shared" si="25"/>
        <v>1328</v>
      </c>
      <c r="C547">
        <f>_XLL.ENTROPY('simple Brayton Cycle'!$A$10,"PT",'T-s diagr. data'!$C$5,'T-s diagr. data'!B547-273.15)</f>
        <v>8.460764916273872</v>
      </c>
      <c r="E547">
        <f>_XLL.ENTROPY('simple Brayton Cycle'!$A$10,"PT",'T-s diagr. data'!$E$5,'T-s diagr. data'!B547-273.15)</f>
        <v>8.066605304054287</v>
      </c>
    </row>
    <row r="548" spans="2:5" ht="15">
      <c r="B548">
        <f t="shared" si="25"/>
        <v>1330</v>
      </c>
      <c r="C548">
        <f>_XLL.ENTROPY('simple Brayton Cycle'!$A$10,"PT",'T-s diagr. data'!$C$5,'T-s diagr. data'!B548-273.15)</f>
        <v>8.462554120059625</v>
      </c>
      <c r="E548">
        <f>_XLL.ENTROPY('simple Brayton Cycle'!$A$10,"PT",'T-s diagr. data'!$E$5,'T-s diagr. data'!B548-273.15)</f>
        <v>8.06839450784004</v>
      </c>
    </row>
    <row r="549" spans="2:5" ht="15">
      <c r="B549">
        <f t="shared" si="25"/>
        <v>1332</v>
      </c>
      <c r="C549">
        <f>_XLL.ENTROPY('simple Brayton Cycle'!$A$10,"PT",'T-s diagr. data'!$C$5,'T-s diagr. data'!B549-273.15)</f>
        <v>8.464341014196439</v>
      </c>
      <c r="E549">
        <f>_XLL.ENTROPY('simple Brayton Cycle'!$A$10,"PT",'T-s diagr. data'!$E$5,'T-s diagr. data'!B549-273.15)</f>
        <v>8.070181401976855</v>
      </c>
    </row>
    <row r="550" spans="2:5" ht="15">
      <c r="B550">
        <f t="shared" si="25"/>
        <v>1334</v>
      </c>
      <c r="C550">
        <f>_XLL.ENTROPY('simple Brayton Cycle'!$A$10,"PT",'T-s diagr. data'!$C$5,'T-s diagr. data'!B550-273.15)</f>
        <v>8.466125604901798</v>
      </c>
      <c r="E550">
        <f>_XLL.ENTROPY('simple Brayton Cycle'!$A$10,"PT",'T-s diagr. data'!$E$5,'T-s diagr. data'!B550-273.15)</f>
        <v>8.071965992682212</v>
      </c>
    </row>
    <row r="551" spans="2:5" ht="15">
      <c r="B551">
        <f t="shared" si="25"/>
        <v>1336</v>
      </c>
      <c r="C551">
        <f>_XLL.ENTROPY('simple Brayton Cycle'!$A$10,"PT",'T-s diagr. data'!$C$5,'T-s diagr. data'!B551-273.15)</f>
        <v>8.467907898366382</v>
      </c>
      <c r="E551">
        <f>_XLL.ENTROPY('simple Brayton Cycle'!$A$10,"PT",'T-s diagr. data'!$E$5,'T-s diagr. data'!B551-273.15)</f>
        <v>8.073748286146797</v>
      </c>
    </row>
    <row r="552" spans="2:5" ht="15">
      <c r="B552">
        <f t="shared" si="25"/>
        <v>1338</v>
      </c>
      <c r="C552">
        <f>_XLL.ENTROPY('simple Brayton Cycle'!$A$10,"PT",'T-s diagr. data'!$C$5,'T-s diagr. data'!B552-273.15)</f>
        <v>8.469687900754227</v>
      </c>
      <c r="E552">
        <f>_XLL.ENTROPY('simple Brayton Cycle'!$A$10,"PT",'T-s diagr. data'!$E$5,'T-s diagr. data'!B552-273.15)</f>
        <v>8.075528288534642</v>
      </c>
    </row>
    <row r="553" spans="2:5" ht="15">
      <c r="B553">
        <f t="shared" si="25"/>
        <v>1340</v>
      </c>
      <c r="C553">
        <f>_XLL.ENTROPY('simple Brayton Cycle'!$A$10,"PT",'T-s diagr. data'!$C$5,'T-s diagr. data'!B553-273.15)</f>
        <v>8.47146561820287</v>
      </c>
      <c r="E553">
        <f>_XLL.ENTROPY('simple Brayton Cycle'!$A$10,"PT",'T-s diagr. data'!$E$5,'T-s diagr. data'!B553-273.15)</f>
        <v>8.077306005983287</v>
      </c>
    </row>
    <row r="554" spans="2:5" ht="15">
      <c r="B554">
        <f t="shared" si="25"/>
        <v>1342</v>
      </c>
      <c r="C554">
        <f>_XLL.ENTROPY('simple Brayton Cycle'!$A$10,"PT",'T-s diagr. data'!$C$5,'T-s diagr. data'!B554-273.15)</f>
        <v>8.47324105682353</v>
      </c>
      <c r="E554">
        <f>_XLL.ENTROPY('simple Brayton Cycle'!$A$10,"PT",'T-s diagr. data'!$E$5,'T-s diagr. data'!B554-273.15)</f>
        <v>8.079081444603945</v>
      </c>
    </row>
    <row r="555" spans="2:5" ht="15">
      <c r="B555">
        <f t="shared" si="25"/>
        <v>1344</v>
      </c>
      <c r="C555">
        <f>_XLL.ENTROPY('simple Brayton Cycle'!$A$10,"PT",'T-s diagr. data'!$C$5,'T-s diagr. data'!B555-273.15)</f>
        <v>8.47501422270124</v>
      </c>
      <c r="E555">
        <f>_XLL.ENTROPY('simple Brayton Cycle'!$A$10,"PT",'T-s diagr. data'!$E$5,'T-s diagr. data'!B555-273.15)</f>
        <v>8.080854610481657</v>
      </c>
    </row>
    <row r="556" spans="2:5" ht="15">
      <c r="B556">
        <f t="shared" si="25"/>
        <v>1346</v>
      </c>
      <c r="C556">
        <f>_XLL.ENTROPY('simple Brayton Cycle'!$A$10,"PT",'T-s diagr. data'!$C$5,'T-s diagr. data'!B556-273.15)</f>
        <v>8.476785121895018</v>
      </c>
      <c r="E556">
        <f>_XLL.ENTROPY('simple Brayton Cycle'!$A$10,"PT",'T-s diagr. data'!$E$5,'T-s diagr. data'!B556-273.15)</f>
        <v>8.082625509675433</v>
      </c>
    </row>
    <row r="557" spans="2:5" ht="15">
      <c r="B557">
        <f t="shared" si="25"/>
        <v>1348</v>
      </c>
      <c r="C557">
        <f>_XLL.ENTROPY('simple Brayton Cycle'!$A$10,"PT",'T-s diagr. data'!$C$5,'T-s diagr. data'!B557-273.15)</f>
        <v>8.478553760438007</v>
      </c>
      <c r="E557">
        <f>_XLL.ENTROPY('simple Brayton Cycle'!$A$10,"PT",'T-s diagr. data'!$E$5,'T-s diagr. data'!B557-273.15)</f>
        <v>8.084394148218424</v>
      </c>
    </row>
    <row r="558" spans="2:5" ht="15">
      <c r="B558">
        <f t="shared" si="25"/>
        <v>1350</v>
      </c>
      <c r="C558">
        <f>_XLL.ENTROPY('simple Brayton Cycle'!$A$10,"PT",'T-s diagr. data'!$C$5,'T-s diagr. data'!B558-273.15)</f>
        <v>8.48032014433765</v>
      </c>
      <c r="E558">
        <f>_XLL.ENTROPY('simple Brayton Cycle'!$A$10,"PT",'T-s diagr. data'!$E$5,'T-s diagr. data'!B558-273.15)</f>
        <v>8.086160532118063</v>
      </c>
    </row>
    <row r="559" spans="2:5" ht="15">
      <c r="B559">
        <f t="shared" si="25"/>
        <v>1352</v>
      </c>
      <c r="C559">
        <f>_XLL.ENTROPY('simple Brayton Cycle'!$A$10,"PT",'T-s diagr. data'!$C$5,'T-s diagr. data'!B559-273.15)</f>
        <v>8.482084279575805</v>
      </c>
      <c r="E559">
        <f>_XLL.ENTROPY('simple Brayton Cycle'!$A$10,"PT",'T-s diagr. data'!$E$5,'T-s diagr. data'!B559-273.15)</f>
        <v>8.087924667356221</v>
      </c>
    </row>
    <row r="560" spans="2:5" ht="15">
      <c r="B560">
        <f t="shared" si="25"/>
        <v>1354</v>
      </c>
      <c r="C560">
        <f>_XLL.ENTROPY('simple Brayton Cycle'!$A$10,"PT",'T-s diagr. data'!$C$5,'T-s diagr. data'!B560-273.15)</f>
        <v>8.483846172108937</v>
      </c>
      <c r="E560">
        <f>_XLL.ENTROPY('simple Brayton Cycle'!$A$10,"PT",'T-s diagr. data'!$E$5,'T-s diagr. data'!B560-273.15)</f>
        <v>8.089686559889353</v>
      </c>
    </row>
    <row r="561" spans="2:5" ht="15">
      <c r="B561">
        <f t="shared" si="25"/>
        <v>1356</v>
      </c>
      <c r="C561">
        <f>_XLL.ENTROPY('simple Brayton Cycle'!$A$10,"PT",'T-s diagr. data'!$C$5,'T-s diagr. data'!B561-273.15)</f>
        <v>8.485605827868234</v>
      </c>
      <c r="E561">
        <f>_XLL.ENTROPY('simple Brayton Cycle'!$A$10,"PT",'T-s diagr. data'!$E$5,'T-s diagr. data'!B561-273.15)</f>
        <v>8.09144621564865</v>
      </c>
    </row>
    <row r="562" spans="2:5" ht="15">
      <c r="B562">
        <f t="shared" si="25"/>
        <v>1358</v>
      </c>
      <c r="C562">
        <f>_XLL.ENTROPY('simple Brayton Cycle'!$A$10,"PT",'T-s diagr. data'!$C$5,'T-s diagr. data'!B562-273.15)</f>
        <v>8.487363252759774</v>
      </c>
      <c r="E562">
        <f>_XLL.ENTROPY('simple Brayton Cycle'!$A$10,"PT",'T-s diagr. data'!$E$5,'T-s diagr. data'!B562-273.15)</f>
        <v>8.09320364054019</v>
      </c>
    </row>
    <row r="563" spans="2:5" ht="15">
      <c r="B563">
        <f t="shared" si="25"/>
        <v>1360</v>
      </c>
      <c r="C563">
        <f>_XLL.ENTROPY('simple Brayton Cycle'!$A$10,"PT",'T-s diagr. data'!$C$5,'T-s diagr. data'!B563-273.15)</f>
        <v>8.489118452664666</v>
      </c>
      <c r="E563">
        <f>_XLL.ENTROPY('simple Brayton Cycle'!$A$10,"PT",'T-s diagr. data'!$E$5,'T-s diagr. data'!B563-273.15)</f>
        <v>8.09495884044508</v>
      </c>
    </row>
    <row r="564" spans="2:5" ht="15">
      <c r="B564">
        <f t="shared" si="25"/>
        <v>1362</v>
      </c>
      <c r="C564">
        <f>_XLL.ENTROPY('simple Brayton Cycle'!$A$10,"PT",'T-s diagr. data'!$C$5,'T-s diagr. data'!B564-273.15)</f>
        <v>8.490871433439189</v>
      </c>
      <c r="E564">
        <f>_XLL.ENTROPY('simple Brayton Cycle'!$A$10,"PT",'T-s diagr. data'!$E$5,'T-s diagr. data'!B564-273.15)</f>
        <v>8.096711821219605</v>
      </c>
    </row>
    <row r="565" spans="2:5" ht="15">
      <c r="B565">
        <f t="shared" si="25"/>
        <v>1364</v>
      </c>
      <c r="C565">
        <f>_XLL.ENTROPY('simple Brayton Cycle'!$A$10,"PT",'T-s diagr. data'!$C$5,'T-s diagr. data'!B565-273.15)</f>
        <v>8.492622200914953</v>
      </c>
      <c r="E565">
        <f>_XLL.ENTROPY('simple Brayton Cycle'!$A$10,"PT",'T-s diagr. data'!$E$5,'T-s diagr. data'!B565-273.15)</f>
        <v>8.09846258869537</v>
      </c>
    </row>
    <row r="566" spans="2:5" ht="15">
      <c r="B566">
        <f t="shared" si="25"/>
        <v>1366</v>
      </c>
      <c r="C566">
        <f>_XLL.ENTROPY('simple Brayton Cycle'!$A$10,"PT",'T-s diagr. data'!$C$5,'T-s diagr. data'!B566-273.15)</f>
        <v>8.49437076089902</v>
      </c>
      <c r="E566">
        <f>_XLL.ENTROPY('simple Brayton Cycle'!$A$10,"PT",'T-s diagr. data'!$E$5,'T-s diagr. data'!B566-273.15)</f>
        <v>8.100211148679437</v>
      </c>
    </row>
    <row r="567" spans="2:5" ht="15">
      <c r="B567">
        <f t="shared" si="25"/>
        <v>1368</v>
      </c>
      <c r="C567">
        <f>_XLL.ENTROPY('simple Brayton Cycle'!$A$10,"PT",'T-s diagr. data'!$C$5,'T-s diagr. data'!B567-273.15)</f>
        <v>8.496117119174077</v>
      </c>
      <c r="E567">
        <f>_XLL.ENTROPY('simple Brayton Cycle'!$A$10,"PT",'T-s diagr. data'!$E$5,'T-s diagr. data'!B567-273.15)</f>
        <v>8.101957506954491</v>
      </c>
    </row>
    <row r="568" spans="2:5" ht="15">
      <c r="B568">
        <f t="shared" si="25"/>
        <v>1370</v>
      </c>
      <c r="C568">
        <f>_XLL.ENTROPY('simple Brayton Cycle'!$A$10,"PT",'T-s diagr. data'!$C$5,'T-s diagr. data'!B568-273.15)</f>
        <v>8.497861281498542</v>
      </c>
      <c r="E568">
        <f>_XLL.ENTROPY('simple Brayton Cycle'!$A$10,"PT",'T-s diagr. data'!$E$5,'T-s diagr. data'!B568-273.15)</f>
        <v>8.103701669278959</v>
      </c>
    </row>
    <row r="569" spans="2:5" ht="15">
      <c r="B569">
        <f t="shared" si="25"/>
        <v>1372</v>
      </c>
      <c r="C569">
        <f>_XLL.ENTROPY('simple Brayton Cycle'!$A$10,"PT",'T-s diagr. data'!$C$5,'T-s diagr. data'!B569-273.15)</f>
        <v>8.49960325360674</v>
      </c>
      <c r="E569">
        <f>_XLL.ENTROPY('simple Brayton Cycle'!$A$10,"PT",'T-s diagr. data'!$E$5,'T-s diagr. data'!B569-273.15)</f>
        <v>8.105443641387154</v>
      </c>
    </row>
    <row r="570" spans="2:5" ht="15">
      <c r="B570">
        <f t="shared" si="25"/>
        <v>1374</v>
      </c>
      <c r="C570">
        <f>_XLL.ENTROPY('simple Brayton Cycle'!$A$10,"PT",'T-s diagr. data'!$C$5,'T-s diagr. data'!B570-273.15)</f>
        <v>8.50134304120901</v>
      </c>
      <c r="E570">
        <f>_XLL.ENTROPY('simple Brayton Cycle'!$A$10,"PT",'T-s diagr. data'!$E$5,'T-s diagr. data'!B570-273.15)</f>
        <v>8.107183428989426</v>
      </c>
    </row>
    <row r="571" spans="2:5" ht="15">
      <c r="B571">
        <f t="shared" si="25"/>
        <v>1376</v>
      </c>
      <c r="C571">
        <f>_XLL.ENTROPY('simple Brayton Cycle'!$A$10,"PT",'T-s diagr. data'!$C$5,'T-s diagr. data'!B571-273.15)</f>
        <v>8.503080649991876</v>
      </c>
      <c r="E571">
        <f>_XLL.ENTROPY('simple Brayton Cycle'!$A$10,"PT",'T-s diagr. data'!$E$5,'T-s diagr. data'!B571-273.15)</f>
        <v>8.108921037772289</v>
      </c>
    </row>
    <row r="572" spans="2:5" ht="15">
      <c r="B572">
        <f t="shared" si="25"/>
        <v>1378</v>
      </c>
      <c r="C572">
        <f>_XLL.ENTROPY('simple Brayton Cycle'!$A$10,"PT",'T-s diagr. data'!$C$5,'T-s diagr. data'!B572-273.15)</f>
        <v>8.504816085618149</v>
      </c>
      <c r="E572">
        <f>_XLL.ENTROPY('simple Brayton Cycle'!$A$10,"PT",'T-s diagr. data'!$E$5,'T-s diagr. data'!B572-273.15)</f>
        <v>8.110656473398564</v>
      </c>
    </row>
    <row r="573" spans="2:5" ht="15">
      <c r="B573">
        <f t="shared" si="25"/>
        <v>1380</v>
      </c>
      <c r="C573">
        <f>_XLL.ENTROPY('simple Brayton Cycle'!$A$10,"PT",'T-s diagr. data'!$C$5,'T-s diagr. data'!B573-273.15)</f>
        <v>8.506549353727094</v>
      </c>
      <c r="E573">
        <f>_XLL.ENTROPY('simple Brayton Cycle'!$A$10,"PT",'T-s diagr. data'!$E$5,'T-s diagr. data'!B573-273.15)</f>
        <v>8.112389741507508</v>
      </c>
    </row>
    <row r="574" spans="2:5" ht="15">
      <c r="B574">
        <f t="shared" si="25"/>
        <v>1382</v>
      </c>
      <c r="C574">
        <f>_XLL.ENTROPY('simple Brayton Cycle'!$A$10,"PT",'T-s diagr. data'!$C$5,'T-s diagr. data'!B574-273.15)</f>
        <v>8.508280459934552</v>
      </c>
      <c r="E574">
        <f>_XLL.ENTROPY('simple Brayton Cycle'!$A$10,"PT",'T-s diagr. data'!$E$5,'T-s diagr. data'!B574-273.15)</f>
        <v>8.11412084771497</v>
      </c>
    </row>
    <row r="575" spans="2:5" ht="15">
      <c r="B575">
        <f t="shared" si="25"/>
        <v>1384</v>
      </c>
      <c r="C575">
        <f>_XLL.ENTROPY('simple Brayton Cycle'!$A$10,"PT",'T-s diagr. data'!$C$5,'T-s diagr. data'!B575-273.15)</f>
        <v>8.51000940983308</v>
      </c>
      <c r="E575">
        <f>_XLL.ENTROPY('simple Brayton Cycle'!$A$10,"PT",'T-s diagr. data'!$E$5,'T-s diagr. data'!B575-273.15)</f>
        <v>8.115849797613494</v>
      </c>
    </row>
    <row r="576" spans="2:5" ht="15">
      <c r="B576">
        <f t="shared" si="25"/>
        <v>1386</v>
      </c>
      <c r="C576">
        <f>_XLL.ENTROPY('simple Brayton Cycle'!$A$10,"PT",'T-s diagr. data'!$C$5,'T-s diagr. data'!B576-273.15)</f>
        <v>8.511736208992067</v>
      </c>
      <c r="E576">
        <f>_XLL.ENTROPY('simple Brayton Cycle'!$A$10,"PT",'T-s diagr. data'!$E$5,'T-s diagr. data'!B576-273.15)</f>
        <v>8.117576596772484</v>
      </c>
    </row>
    <row r="577" spans="2:5" ht="15">
      <c r="B577">
        <f t="shared" si="25"/>
        <v>1388</v>
      </c>
      <c r="C577">
        <f>_XLL.ENTROPY('simple Brayton Cycle'!$A$10,"PT",'T-s diagr. data'!$C$5,'T-s diagr. data'!B577-273.15)</f>
        <v>8.513460862957897</v>
      </c>
      <c r="E577">
        <f>_XLL.ENTROPY('simple Brayton Cycle'!$A$10,"PT",'T-s diagr. data'!$E$5,'T-s diagr. data'!B577-273.15)</f>
        <v>8.119301250738314</v>
      </c>
    </row>
    <row r="578" spans="2:5" ht="15">
      <c r="B578">
        <f t="shared" si="25"/>
        <v>1390</v>
      </c>
      <c r="C578">
        <f>_XLL.ENTROPY('simple Brayton Cycle'!$A$10,"PT",'T-s diagr. data'!$C$5,'T-s diagr. data'!B578-273.15)</f>
        <v>8.515183377254056</v>
      </c>
      <c r="E578">
        <f>_XLL.ENTROPY('simple Brayton Cycle'!$A$10,"PT",'T-s diagr. data'!$E$5,'T-s diagr. data'!B578-273.15)</f>
        <v>8.121023765034472</v>
      </c>
    </row>
    <row r="579" spans="2:5" ht="15">
      <c r="B579">
        <f t="shared" si="25"/>
        <v>1392</v>
      </c>
      <c r="C579">
        <f>_XLL.ENTROPY('simple Brayton Cycle'!$A$10,"PT",'T-s diagr. data'!$C$5,'T-s diagr. data'!B579-273.15)</f>
        <v>8.516903757381272</v>
      </c>
      <c r="E579">
        <f>_XLL.ENTROPY('simple Brayton Cycle'!$A$10,"PT",'T-s diagr. data'!$E$5,'T-s diagr. data'!B579-273.15)</f>
        <v>8.122744145161688</v>
      </c>
    </row>
    <row r="580" spans="2:5" ht="15">
      <c r="B580">
        <f t="shared" si="25"/>
        <v>1394</v>
      </c>
      <c r="C580">
        <f>_XLL.ENTROPY('simple Brayton Cycle'!$A$10,"PT",'T-s diagr. data'!$C$5,'T-s diagr. data'!B580-273.15)</f>
        <v>8.518622008817644</v>
      </c>
      <c r="E580">
        <f>_XLL.ENTROPY('simple Brayton Cycle'!$A$10,"PT",'T-s diagr. data'!$E$5,'T-s diagr. data'!B580-273.15)</f>
        <v>8.124462396598057</v>
      </c>
    </row>
    <row r="581" spans="2:5" ht="15">
      <c r="B581">
        <f t="shared" si="25"/>
        <v>1396</v>
      </c>
      <c r="C581">
        <f>_XLL.ENTROPY('simple Brayton Cycle'!$A$10,"PT",'T-s diagr. data'!$C$5,'T-s diagr. data'!B581-273.15)</f>
        <v>8.520338137018767</v>
      </c>
      <c r="E581">
        <f>_XLL.ENTROPY('simple Brayton Cycle'!$A$10,"PT",'T-s diagr. data'!$E$5,'T-s diagr. data'!B581-273.15)</f>
        <v>8.126178524799183</v>
      </c>
    </row>
    <row r="582" spans="2:5" ht="15">
      <c r="B582">
        <f t="shared" si="25"/>
        <v>1398</v>
      </c>
      <c r="C582">
        <f>_XLL.ENTROPY('simple Brayton Cycle'!$A$10,"PT",'T-s diagr. data'!$C$5,'T-s diagr. data'!B582-273.15)</f>
        <v>8.522052147417874</v>
      </c>
      <c r="E582">
        <f>_XLL.ENTROPY('simple Brayton Cycle'!$A$10,"PT",'T-s diagr. data'!$E$5,'T-s diagr. data'!B582-273.15)</f>
        <v>8.127892535198288</v>
      </c>
    </row>
    <row r="583" spans="2:5" ht="15">
      <c r="B583">
        <f t="shared" si="25"/>
        <v>1400</v>
      </c>
      <c r="C583">
        <f>_XLL.ENTROPY('simple Brayton Cycle'!$A$10,"PT",'T-s diagr. data'!$C$5,'T-s diagr. data'!B583-273.15)</f>
        <v>8.523764045425938</v>
      </c>
      <c r="E583">
        <f>_XLL.ENTROPY('simple Brayton Cycle'!$A$10,"PT",'T-s diagr. data'!$E$5,'T-s diagr. data'!B583-273.15)</f>
        <v>8.129604433206355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1"/>
  <sheetViews>
    <sheetView showGridLines="0" zoomScalePageLayoutView="0" workbookViewId="0" topLeftCell="A1">
      <selection activeCell="D4" sqref="D4"/>
    </sheetView>
  </sheetViews>
  <sheetFormatPr defaultColWidth="9.140625" defaultRowHeight="15"/>
  <cols>
    <col min="2" max="2" width="10.28125" style="0" customWidth="1"/>
    <col min="3" max="3" width="12.28125" style="0" bestFit="1" customWidth="1"/>
    <col min="4" max="4" width="12.8515625" style="0" customWidth="1"/>
    <col min="5" max="5" width="12.00390625" style="0" customWidth="1"/>
  </cols>
  <sheetData>
    <row r="1" spans="4:5" ht="15">
      <c r="D1" t="s">
        <v>19</v>
      </c>
      <c r="E1">
        <v>1</v>
      </c>
    </row>
    <row r="3" spans="2:5" ht="15">
      <c r="B3" t="s">
        <v>30</v>
      </c>
      <c r="C3" t="s">
        <v>57</v>
      </c>
      <c r="D3" t="s">
        <v>30</v>
      </c>
      <c r="E3" t="s">
        <v>57</v>
      </c>
    </row>
    <row r="4" spans="2:5" ht="15">
      <c r="B4" s="6">
        <f>'simple Brayton Cycle'!T_1</f>
        <v>293.15</v>
      </c>
      <c r="C4" s="8">
        <f>_XLL.HEATCAPP('simple Brayton Cycle'!Fluid,"PT",$E$1,B4-273.15)</f>
        <v>1.0038712933935632</v>
      </c>
      <c r="D4" s="6">
        <f>'simple Brayton Cycle'!T_3</f>
        <v>798.15</v>
      </c>
      <c r="E4" s="8">
        <f>_XLL.HEATCAPP('simple Brayton Cycle'!Fluid,"PT",'Cp=Cp(T)'!E1,D4-273.15)</f>
        <v>1.0974272663965217</v>
      </c>
    </row>
    <row r="5" spans="2:5" ht="15">
      <c r="B5" s="6">
        <f>B4+('simple Brayton Cycle'!T_3-'simple Brayton Cycle'!T_1)/100</f>
        <v>298.2</v>
      </c>
      <c r="C5" s="8">
        <f>_XLL.HEATCAPP('simple Brayton Cycle'!Fluid,"PT",$E$1,B5-273.15)</f>
        <v>1.004071437688932</v>
      </c>
      <c r="D5" s="6">
        <f>D4+('simple Brayton Cycle'!T_4_is-'simple Brayton Cycle'!T_3)/100</f>
        <v>795.5595092410008</v>
      </c>
      <c r="E5" s="8">
        <f>_XLL.HEATCAPP('simple Brayton Cycle'!Fluid,"PT",$E$1,D5-273.15)</f>
        <v>1.0968114549252712</v>
      </c>
    </row>
    <row r="6" spans="2:5" ht="15">
      <c r="B6" s="6">
        <f>B5+('simple Brayton Cycle'!T_3-'simple Brayton Cycle'!T_1)/100</f>
        <v>303.25</v>
      </c>
      <c r="C6" s="8">
        <f>_XLL.HEATCAPP('simple Brayton Cycle'!Fluid,"PT",$E$1,B6-273.15)</f>
        <v>1.004296909178604</v>
      </c>
      <c r="D6" s="6">
        <f>D5+('simple Brayton Cycle'!T_4_is-'simple Brayton Cycle'!T_3)/100</f>
        <v>792.9690184820016</v>
      </c>
      <c r="E6" s="8">
        <f>_XLL.HEATCAPP('simple Brayton Cycle'!Fluid,"PT",$E$1,D6-273.15)</f>
        <v>1.096194787965243</v>
      </c>
    </row>
    <row r="7" spans="2:5" ht="15">
      <c r="B7" s="6">
        <f>B6+('simple Brayton Cycle'!T_3-'simple Brayton Cycle'!T_1)/100</f>
        <v>308.3</v>
      </c>
      <c r="C7" s="8">
        <f>_XLL.HEATCAPP('simple Brayton Cycle'!Fluid,"PT",$E$1,B7-273.15)</f>
        <v>1.004547357297088</v>
      </c>
      <c r="D7" s="6">
        <f>D6+('simple Brayton Cycle'!T_4_is-'simple Brayton Cycle'!T_3)/100</f>
        <v>790.3785277230024</v>
      </c>
      <c r="E7" s="8">
        <f>_XLL.HEATCAPP('simple Brayton Cycle'!Fluid,"PT",$E$1,D7-273.15)</f>
        <v>1.0955772964915604</v>
      </c>
    </row>
    <row r="8" spans="2:5" ht="15">
      <c r="B8" s="6">
        <f>B7+('simple Brayton Cycle'!T_3-'simple Brayton Cycle'!T_1)/100</f>
        <v>313.35</v>
      </c>
      <c r="C8" s="8">
        <f>_XLL.HEATCAPP('simple Brayton Cycle'!Fluid,"PT",$E$1,B8-273.15)</f>
        <v>1.0048224327178858</v>
      </c>
      <c r="D8" s="6">
        <f>D7+('simple Brayton Cycle'!T_4_is-'simple Brayton Cycle'!T_3)/100</f>
        <v>787.7880369640033</v>
      </c>
      <c r="E8" s="8">
        <f>_XLL.HEATCAPP('simple Brayton Cycle'!Fluid,"PT",$E$1,D8-273.15)</f>
        <v>1.0949590115651375</v>
      </c>
    </row>
    <row r="9" spans="2:5" ht="15">
      <c r="B9" s="6">
        <f>B8+('simple Brayton Cycle'!T_3-'simple Brayton Cycle'!T_1)/100</f>
        <v>318.40000000000003</v>
      </c>
      <c r="C9" s="8">
        <f>_XLL.HEATCAPP('simple Brayton Cycle'!Fluid,"PT",$E$1,B9-273.15)</f>
        <v>1.0051217873534923</v>
      </c>
      <c r="D9" s="6">
        <f>D8+('simple Brayton Cycle'!T_4_is-'simple Brayton Cycle'!T_3)/100</f>
        <v>785.1975462050041</v>
      </c>
      <c r="E9" s="8">
        <f>_XLL.HEATCAPP('simple Brayton Cycle'!Fluid,"PT",$E$1,D9-273.15)</f>
        <v>1.0943399643326759</v>
      </c>
    </row>
    <row r="10" spans="2:5" ht="15">
      <c r="B10" s="6">
        <f>B9+('simple Brayton Cycle'!T_3-'simple Brayton Cycle'!T_1)/100</f>
        <v>323.45000000000005</v>
      </c>
      <c r="C10" s="8">
        <f>_XLL.HEATCAPP('simple Brayton Cycle'!Fluid,"PT",$E$1,B10-273.15)</f>
        <v>1.0054450743553973</v>
      </c>
      <c r="D10" s="6">
        <f>D9+('simple Brayton Cycle'!T_4_is-'simple Brayton Cycle'!T_3)/100</f>
        <v>782.6070554460049</v>
      </c>
      <c r="E10" s="8">
        <f>_XLL.HEATCAPP('simple Brayton Cycle'!Fluid,"PT",$E$1,D10-273.15)</f>
        <v>1.0937201860266668</v>
      </c>
    </row>
    <row r="11" spans="2:5" ht="15">
      <c r="B11" s="6">
        <f>B10+('simple Brayton Cycle'!T_3-'simple Brayton Cycle'!T_1)/100</f>
        <v>328.50000000000006</v>
      </c>
      <c r="C11" s="8">
        <f>_XLL.HEATCAPP('simple Brayton Cycle'!Fluid,"PT",$E$1,B11-273.15)</f>
        <v>1.005791948114082</v>
      </c>
      <c r="D11" s="6">
        <f>D10+('simple Brayton Cycle'!T_4_is-'simple Brayton Cycle'!T_3)/100</f>
        <v>780.0165646870057</v>
      </c>
      <c r="E11" s="8">
        <f>_XLL.HEATCAPP('simple Brayton Cycle'!Fluid,"PT",$E$1,D11-273.15)</f>
        <v>1.0930997079653904</v>
      </c>
    </row>
    <row r="12" spans="2:5" ht="15">
      <c r="B12" s="6">
        <f>B11+('simple Brayton Cycle'!T_3-'simple Brayton Cycle'!T_1)/100</f>
        <v>333.55000000000007</v>
      </c>
      <c r="C12" s="8">
        <f>_XLL.HEATCAPP('simple Brayton Cycle'!Fluid,"PT",$E$1,B12-273.15)</f>
        <v>1.0061620642590225</v>
      </c>
      <c r="D12" s="6">
        <f>D11+('simple Brayton Cycle'!T_4_is-'simple Brayton Cycle'!T_3)/100</f>
        <v>777.4260739280065</v>
      </c>
      <c r="E12" s="8">
        <f>_XLL.HEATCAPP('simple Brayton Cycle'!Fluid,"PT",$E$1,D12-273.15)</f>
        <v>1.092478561552916</v>
      </c>
    </row>
    <row r="13" spans="2:5" ht="15">
      <c r="B13" s="6">
        <f>B12+('simple Brayton Cycle'!T_3-'simple Brayton Cycle'!T_1)/100</f>
        <v>338.6000000000001</v>
      </c>
      <c r="C13" s="8">
        <f>_XLL.HEATCAPP('simple Brayton Cycle'!Fluid,"PT",$E$1,B13-273.15)</f>
        <v>1.0065550796586868</v>
      </c>
      <c r="D13" s="6">
        <f>D12+('simple Brayton Cycle'!T_4_is-'simple Brayton Cycle'!T_3)/100</f>
        <v>774.8355831690074</v>
      </c>
      <c r="E13" s="8">
        <f>_XLL.HEATCAPP('simple Brayton Cycle'!Fluid,"PT",$E$1,D13-273.15)</f>
        <v>1.0918567782791013</v>
      </c>
    </row>
    <row r="14" spans="2:5" ht="15">
      <c r="B14" s="6">
        <f>B13+('simple Brayton Cycle'!T_3-'simple Brayton Cycle'!T_1)/100</f>
        <v>343.6500000000001</v>
      </c>
      <c r="C14" s="8">
        <f>_XLL.HEATCAPP('simple Brayton Cycle'!Fluid,"PT",$E$1,B14-273.15)</f>
        <v>1.0069706524205373</v>
      </c>
      <c r="D14" s="6">
        <f>D13+('simple Brayton Cycle'!T_4_is-'simple Brayton Cycle'!T_3)/100</f>
        <v>772.2450924100082</v>
      </c>
      <c r="E14" s="8">
        <f>_XLL.HEATCAPP('simple Brayton Cycle'!Fluid,"PT",$E$1,D14-273.15)</f>
        <v>1.0912343897195942</v>
      </c>
    </row>
    <row r="15" spans="2:5" ht="15">
      <c r="B15" s="6">
        <f>B14+('simple Brayton Cycle'!T_3-'simple Brayton Cycle'!T_1)/100</f>
        <v>348.7000000000001</v>
      </c>
      <c r="C15" s="8">
        <f>_XLL.HEATCAPP('simple Brayton Cycle'!Fluid,"PT",$E$1,B15-273.15)</f>
        <v>1.0074084418910292</v>
      </c>
      <c r="D15" s="6">
        <f>D14+('simple Brayton Cycle'!T_4_is-'simple Brayton Cycle'!T_3)/100</f>
        <v>769.654601651009</v>
      </c>
      <c r="E15" s="8">
        <f>_XLL.HEATCAPP('simple Brayton Cycle'!Fluid,"PT",$E$1,D15-273.15)</f>
        <v>1.0906114275358303</v>
      </c>
    </row>
    <row r="16" spans="2:5" ht="15">
      <c r="B16" s="6">
        <f>B15+('simple Brayton Cycle'!T_3-'simple Brayton Cycle'!T_1)/100</f>
        <v>353.7500000000001</v>
      </c>
      <c r="C16" s="8">
        <f>_XLL.HEATCAPP('simple Brayton Cycle'!Fluid,"PT",$E$1,B16-273.15)</f>
        <v>1.0078681086556114</v>
      </c>
      <c r="D16" s="6">
        <f>D15+('simple Brayton Cycle'!T_4_is-'simple Brayton Cycle'!T_3)/100</f>
        <v>767.0641108920098</v>
      </c>
      <c r="E16" s="8">
        <f>_XLL.HEATCAPP('simple Brayton Cycle'!Fluid,"PT",$E$1,D16-273.15)</f>
        <v>1.089987923475035</v>
      </c>
    </row>
    <row r="17" spans="2:5" ht="15">
      <c r="B17" s="6">
        <f>B16+('simple Brayton Cycle'!T_3-'simple Brayton Cycle'!T_1)/100</f>
        <v>358.8000000000001</v>
      </c>
      <c r="C17" s="8">
        <f>_XLL.HEATCAPP('simple Brayton Cycle'!Fluid,"PT",$E$1,B17-273.15)</f>
        <v>1.008349314538726</v>
      </c>
      <c r="D17" s="6">
        <f>D16+('simple Brayton Cycle'!T_4_is-'simple Brayton Cycle'!T_3)/100</f>
        <v>764.4736201330106</v>
      </c>
      <c r="E17" s="8">
        <f>_XLL.HEATCAPP('simple Brayton Cycle'!Fluid,"PT",$E$1,D17-273.15)</f>
        <v>1.0893639093702225</v>
      </c>
    </row>
    <row r="18" spans="2:5" ht="15">
      <c r="B18" s="6">
        <f>B17+('simple Brayton Cycle'!T_3-'simple Brayton Cycle'!T_1)/100</f>
        <v>363.85000000000014</v>
      </c>
      <c r="C18" s="8">
        <f>_XLL.HEATCAPP('simple Brayton Cycle'!Fluid,"PT",$E$1,B18-273.15)</f>
        <v>1.0088517226038078</v>
      </c>
      <c r="D18" s="6">
        <f>D17+('simple Brayton Cycle'!T_4_is-'simple Brayton Cycle'!T_3)/100</f>
        <v>761.8831293740114</v>
      </c>
      <c r="E18" s="8">
        <f>_XLL.HEATCAPP('simple Brayton Cycle'!Fluid,"PT",$E$1,D18-273.15)</f>
        <v>1.0887394171401958</v>
      </c>
    </row>
    <row r="19" spans="2:5" ht="15">
      <c r="B19" s="6">
        <f>B18+('simple Brayton Cycle'!T_3-'simple Brayton Cycle'!T_1)/100</f>
        <v>368.90000000000015</v>
      </c>
      <c r="C19" s="8">
        <f>_XLL.HEATCAPP('simple Brayton Cycle'!Fluid,"PT",$E$1,B19-273.15)</f>
        <v>1.009374997153286</v>
      </c>
      <c r="D19" s="6">
        <f>D18+('simple Brayton Cycle'!T_4_is-'simple Brayton Cycle'!T_3)/100</f>
        <v>759.2926386150123</v>
      </c>
      <c r="E19" s="8">
        <f>_XLL.HEATCAPP('simple Brayton Cycle'!Fluid,"PT",$E$1,D19-273.15)</f>
        <v>1.0881144787895476</v>
      </c>
    </row>
    <row r="20" spans="2:5" ht="15">
      <c r="B20" s="6">
        <f>B19+('simple Brayton Cycle'!T_3-'simple Brayton Cycle'!T_1)/100</f>
        <v>373.95000000000016</v>
      </c>
      <c r="C20" s="8">
        <f>_XLL.HEATCAPP('simple Brayton Cycle'!Fluid,"PT",$E$1,B20-273.15)</f>
        <v>1.009918803728582</v>
      </c>
      <c r="D20" s="6">
        <f>D19+('simple Brayton Cycle'!T_4_is-'simple Brayton Cycle'!T_3)/100</f>
        <v>756.7021478560131</v>
      </c>
      <c r="E20" s="8">
        <f>_XLL.HEATCAPP('simple Brayton Cycle'!Fluid,"PT",$E$1,D20-273.15)</f>
        <v>1.0874891264086588</v>
      </c>
    </row>
    <row r="21" spans="2:5" ht="15">
      <c r="B21" s="6">
        <f>B20+('simple Brayton Cycle'!T_3-'simple Brayton Cycle'!T_1)/100</f>
        <v>379.00000000000017</v>
      </c>
      <c r="C21" s="8">
        <f>_XLL.HEATCAPP('simple Brayton Cycle'!Fluid,"PT",$E$1,B21-273.15)</f>
        <v>1.0104828091101117</v>
      </c>
      <c r="D21" s="6">
        <f>D20+('simple Brayton Cycle'!T_4_is-'simple Brayton Cycle'!T_3)/100</f>
        <v>754.1116570970139</v>
      </c>
      <c r="E21" s="8">
        <f>_XLL.HEATCAPP('simple Brayton Cycle'!Fluid,"PT",$E$1,D21-273.15)</f>
        <v>1.0868633921736999</v>
      </c>
    </row>
    <row r="22" spans="2:5" ht="15">
      <c r="B22" s="6">
        <f>B21+('simple Brayton Cycle'!T_3-'simple Brayton Cycle'!T_1)/100</f>
        <v>384.0500000000002</v>
      </c>
      <c r="C22" s="8">
        <f>_XLL.HEATCAPP('simple Brayton Cycle'!Fluid,"PT",$E$1,B22-273.15)</f>
        <v>1.0110666813172833</v>
      </c>
      <c r="D22" s="6">
        <f>D21+('simple Brayton Cycle'!T_4_is-'simple Brayton Cycle'!T_3)/100</f>
        <v>751.5211663380147</v>
      </c>
      <c r="E22" s="8">
        <f>_XLL.HEATCAPP('simple Brayton Cycle'!Fluid,"PT",$E$1,D22-273.15)</f>
        <v>1.0862373083466297</v>
      </c>
    </row>
    <row r="23" spans="2:5" ht="15">
      <c r="B23" s="6">
        <f>B22+('simple Brayton Cycle'!T_3-'simple Brayton Cycle'!T_1)/100</f>
        <v>389.1000000000002</v>
      </c>
      <c r="C23" s="8">
        <f>_XLL.HEATCAPP('simple Brayton Cycle'!Fluid,"PT",$E$1,B23-273.15)</f>
        <v>1.011670089608499</v>
      </c>
      <c r="D23" s="6">
        <f>D22+('simple Brayton Cycle'!T_4_is-'simple Brayton Cycle'!T_3)/100</f>
        <v>748.9306755790155</v>
      </c>
      <c r="E23" s="8">
        <f>_XLL.HEATCAPP('simple Brayton Cycle'!Fluid,"PT",$E$1,D23-273.15)</f>
        <v>1.0856109072751963</v>
      </c>
    </row>
    <row r="24" spans="2:5" ht="15">
      <c r="B24" s="6">
        <f>B23+('simple Brayton Cycle'!T_3-'simple Brayton Cycle'!T_1)/100</f>
        <v>394.1500000000002</v>
      </c>
      <c r="C24" s="8">
        <f>_XLL.HEATCAPP('simple Brayton Cycle'!Fluid,"PT",$E$1,B24-273.15)</f>
        <v>1.012292704481154</v>
      </c>
      <c r="D24" s="6">
        <f>D23+('simple Brayton Cycle'!T_4_is-'simple Brayton Cycle'!T_3)/100</f>
        <v>746.3401848200164</v>
      </c>
      <c r="E24" s="8">
        <f>_XLL.HEATCAPP('simple Brayton Cycle'!Fluid,"PT",$E$1,D24-273.15)</f>
        <v>1.084984221392938</v>
      </c>
    </row>
    <row r="25" spans="2:5" ht="15">
      <c r="B25" s="6">
        <f>B24+('simple Brayton Cycle'!T_3-'simple Brayton Cycle'!T_1)/100</f>
        <v>399.2000000000002</v>
      </c>
      <c r="C25" s="8">
        <f>_XLL.HEATCAPP('simple Brayton Cycle'!Fluid,"PT",$E$1,B25-273.15)</f>
        <v>1.012934197671637</v>
      </c>
      <c r="D25" s="6">
        <f>D24+('simple Brayton Cycle'!T_4_is-'simple Brayton Cycle'!T_3)/100</f>
        <v>743.7496940610172</v>
      </c>
      <c r="E25" s="8">
        <f>_XLL.HEATCAPP('simple Brayton Cycle'!Fluid,"PT",$E$1,D25-273.15)</f>
        <v>1.0843572832191801</v>
      </c>
    </row>
    <row r="26" spans="2:5" ht="15">
      <c r="B26" s="6">
        <f>B25+('simple Brayton Cycle'!T_3-'simple Brayton Cycle'!T_1)/100</f>
        <v>404.2500000000002</v>
      </c>
      <c r="C26" s="8">
        <f>_XLL.HEATCAPP('simple Brayton Cycle'!Fluid,"PT",$E$1,B26-273.15)</f>
        <v>1.01359424215533</v>
      </c>
      <c r="D26" s="6">
        <f>D25+('simple Brayton Cycle'!T_4_is-'simple Brayton Cycle'!T_3)/100</f>
        <v>741.159203302018</v>
      </c>
      <c r="E26" s="8">
        <f>_XLL.HEATCAPP('simple Brayton Cycle'!Fluid,"PT",$E$1,D26-273.15)</f>
        <v>1.0837301253590381</v>
      </c>
    </row>
    <row r="27" spans="2:5" ht="15">
      <c r="B27" s="6">
        <f>B26+('simple Brayton Cycle'!T_3-'simple Brayton Cycle'!T_1)/100</f>
        <v>409.30000000000024</v>
      </c>
      <c r="C27" s="8">
        <f>_XLL.HEATCAPP('simple Brayton Cycle'!Fluid,"PT",$E$1,B27-273.15)</f>
        <v>1.0142725121466079</v>
      </c>
      <c r="D27" s="6">
        <f>D26+('simple Brayton Cycle'!T_4_is-'simple Brayton Cycle'!T_3)/100</f>
        <v>738.5687125430188</v>
      </c>
      <c r="E27" s="8">
        <f>_XLL.HEATCAPP('simple Brayton Cycle'!Fluid,"PT",$E$1,D27-273.15)</f>
        <v>1.0831027805034166</v>
      </c>
    </row>
    <row r="28" spans="2:5" ht="15">
      <c r="B28" s="6">
        <f>B27+('simple Brayton Cycle'!T_3-'simple Brayton Cycle'!T_1)/100</f>
        <v>414.35000000000025</v>
      </c>
      <c r="C28" s="8">
        <f>_XLL.HEATCAPP('simple Brayton Cycle'!Fluid,"PT",$E$1,B28-273.15)</f>
        <v>1.0149686830988394</v>
      </c>
      <c r="D28" s="6">
        <f>D27+('simple Brayton Cycle'!T_4_is-'simple Brayton Cycle'!T_3)/100</f>
        <v>735.9782217840196</v>
      </c>
      <c r="E28" s="8">
        <f>_XLL.HEATCAPP('simple Brayton Cycle'!Fluid,"PT",$E$1,D28-273.15)</f>
        <v>1.0824752814290084</v>
      </c>
    </row>
    <row r="29" spans="2:5" ht="15">
      <c r="B29" s="6">
        <f>B28+('simple Brayton Cycle'!T_3-'simple Brayton Cycle'!T_1)/100</f>
        <v>419.40000000000026</v>
      </c>
      <c r="C29" s="8">
        <f>_XLL.HEATCAPP('simple Brayton Cycle'!Fluid,"PT",$E$1,B29-273.15)</f>
        <v>1.0156824317043869</v>
      </c>
      <c r="D29" s="6">
        <f>D28+('simple Brayton Cycle'!T_4_is-'simple Brayton Cycle'!T_3)/100</f>
        <v>733.3877310250205</v>
      </c>
      <c r="E29" s="8">
        <f>_XLL.HEATCAPP('simple Brayton Cycle'!Fluid,"PT",$E$1,D29-273.15)</f>
        <v>1.0818476609982963</v>
      </c>
    </row>
    <row r="30" spans="2:5" ht="15">
      <c r="B30" s="6">
        <f>B29+('simple Brayton Cycle'!T_3-'simple Brayton Cycle'!T_1)/100</f>
        <v>424.4500000000003</v>
      </c>
      <c r="C30" s="8">
        <f>_XLL.HEATCAPP('simple Brayton Cycle'!Fluid,"PT",$E$1,B30-273.15)</f>
        <v>1.0164134358946046</v>
      </c>
      <c r="D30" s="6">
        <f>D29+('simple Brayton Cycle'!T_4_is-'simple Brayton Cycle'!T_3)/100</f>
        <v>730.7972402660213</v>
      </c>
      <c r="E30" s="8">
        <f>_XLL.HEATCAPP('simple Brayton Cycle'!Fluid,"PT",$E$1,D30-273.15)</f>
        <v>1.081219952159551</v>
      </c>
    </row>
    <row r="31" spans="2:5" ht="15">
      <c r="B31" s="6">
        <f>B30+('simple Brayton Cycle'!T_3-'simple Brayton Cycle'!T_1)/100</f>
        <v>429.5000000000003</v>
      </c>
      <c r="C31" s="8">
        <f>_XLL.HEATCAPP('simple Brayton Cycle'!Fluid,"PT",$E$1,B31-273.15)</f>
        <v>1.0171613748398418</v>
      </c>
      <c r="D31" s="6">
        <f>D30+('simple Brayton Cycle'!T_4_is-'simple Brayton Cycle'!T_3)/100</f>
        <v>728.2067495070221</v>
      </c>
      <c r="E31" s="8">
        <f>_XLL.HEATCAPP('simple Brayton Cycle'!Fluid,"PT",$E$1,D31-273.15)</f>
        <v>1.0805921879468332</v>
      </c>
    </row>
    <row r="32" spans="2:5" ht="15">
      <c r="B32" s="6">
        <f>B31+('simple Brayton Cycle'!T_3-'simple Brayton Cycle'!T_1)/100</f>
        <v>434.5500000000003</v>
      </c>
      <c r="C32" s="8">
        <f>_XLL.HEATCAPP('simple Brayton Cycle'!Fluid,"PT",$E$1,B32-273.15)</f>
        <v>1.0179259289494405</v>
      </c>
      <c r="D32" s="6">
        <f>D31+('simple Brayton Cycle'!T_4_is-'simple Brayton Cycle'!T_3)/100</f>
        <v>725.6162587480229</v>
      </c>
      <c r="E32" s="8">
        <f>_XLL.HEATCAPP('simple Brayton Cycle'!Fluid,"PT",$E$1,D32-273.15)</f>
        <v>1.0799644014799923</v>
      </c>
    </row>
    <row r="33" spans="2:5" ht="15">
      <c r="B33" s="6">
        <f>B32+('simple Brayton Cycle'!T_3-'simple Brayton Cycle'!T_1)/100</f>
        <v>439.6000000000003</v>
      </c>
      <c r="C33" s="8">
        <f>_XLL.HEATCAPP('simple Brayton Cycle'!Fluid,"PT",$E$1,B33-273.15)</f>
        <v>1.0187067798717355</v>
      </c>
      <c r="D33" s="6">
        <f>D32+('simple Brayton Cycle'!T_4_is-'simple Brayton Cycle'!T_3)/100</f>
        <v>723.0257679890237</v>
      </c>
      <c r="E33" s="8">
        <f>_XLL.HEATCAPP('simple Brayton Cycle'!Fluid,"PT",$E$1,D33-273.15)</f>
        <v>1.0793366259646666</v>
      </c>
    </row>
    <row r="34" spans="2:5" ht="15">
      <c r="B34" s="6">
        <f>B33+('simple Brayton Cycle'!T_3-'simple Brayton Cycle'!T_1)/100</f>
        <v>444.6500000000003</v>
      </c>
      <c r="C34" s="8">
        <f>_XLL.HEATCAPP('simple Brayton Cycle'!Fluid,"PT",$E$1,B34-273.15)</f>
        <v>1.0195036104940551</v>
      </c>
      <c r="D34" s="6">
        <f>D33+('simple Brayton Cycle'!T_4_is-'simple Brayton Cycle'!T_3)/100</f>
        <v>720.4352772300246</v>
      </c>
      <c r="E34" s="8">
        <f>_XLL.HEATCAPP('simple Brayton Cycle'!Fluid,"PT",$E$1,D34-273.15)</f>
        <v>1.0787088946922831</v>
      </c>
    </row>
    <row r="35" spans="2:5" ht="15">
      <c r="B35" s="6">
        <f>B34+('simple Brayton Cycle'!T_3-'simple Brayton Cycle'!T_1)/100</f>
        <v>449.70000000000033</v>
      </c>
      <c r="C35" s="8">
        <f>_XLL.HEATCAPP('simple Brayton Cycle'!Fluid,"PT",$E$1,B35-273.15)</f>
        <v>1.020316104942722</v>
      </c>
      <c r="D35" s="6">
        <f>D34+('simple Brayton Cycle'!T_4_is-'simple Brayton Cycle'!T_3)/100</f>
        <v>717.8447864710254</v>
      </c>
      <c r="E35" s="8">
        <f>_XLL.HEATCAPP('simple Brayton Cycle'!Fluid,"PT",$E$1,D35-273.15)</f>
        <v>1.0780812410400584</v>
      </c>
    </row>
    <row r="36" spans="2:5" ht="15">
      <c r="B36" s="6">
        <f>B35+('simple Brayton Cycle'!T_3-'simple Brayton Cycle'!T_1)/100</f>
        <v>454.75000000000034</v>
      </c>
      <c r="C36" s="8">
        <f>_XLL.HEATCAPP('simple Brayton Cycle'!Fluid,"PT",$E$1,B36-273.15)</f>
        <v>1.0211439485830507</v>
      </c>
      <c r="D36" s="6">
        <f>D35+('simple Brayton Cycle'!T_4_is-'simple Brayton Cycle'!T_3)/100</f>
        <v>715.2542957120262</v>
      </c>
      <c r="E36" s="8">
        <f>_XLL.HEATCAPP('simple Brayton Cycle'!Fluid,"PT",$E$1,D36-273.15)</f>
        <v>1.077453698470998</v>
      </c>
    </row>
    <row r="37" spans="2:5" ht="15">
      <c r="B37" s="6">
        <f>B36+('simple Brayton Cycle'!T_3-'simple Brayton Cycle'!T_1)/100</f>
        <v>459.80000000000035</v>
      </c>
      <c r="C37" s="8">
        <f>_XLL.HEATCAPP('simple Brayton Cycle'!Fluid,"PT",$E$1,B37-273.15)</f>
        <v>1.02198682801935</v>
      </c>
      <c r="D37" s="6">
        <f>D36+('simple Brayton Cycle'!T_4_is-'simple Brayton Cycle'!T_3)/100</f>
        <v>712.663804953027</v>
      </c>
      <c r="E37" s="8">
        <f>_XLL.HEATCAPP('simple Brayton Cycle'!Fluid,"PT",$E$1,D37-273.15)</f>
        <v>1.0768263005338958</v>
      </c>
    </row>
    <row r="38" spans="2:5" ht="15">
      <c r="B38" s="6">
        <f>B37+('simple Brayton Cycle'!T_3-'simple Brayton Cycle'!T_1)/100</f>
        <v>464.85000000000036</v>
      </c>
      <c r="C38" s="8">
        <f>_XLL.HEATCAPP('simple Brayton Cycle'!Fluid,"PT",$E$1,B38-273.15)</f>
        <v>1.0228444310949218</v>
      </c>
      <c r="D38" s="6">
        <f>D37+('simple Brayton Cycle'!T_4_is-'simple Brayton Cycle'!T_3)/100</f>
        <v>710.0733141940278</v>
      </c>
      <c r="E38" s="8">
        <f>_XLL.HEATCAPP('simple Brayton Cycle'!Fluid,"PT",$E$1,D38-273.15)</f>
        <v>1.0761990808633355</v>
      </c>
    </row>
    <row r="39" spans="2:5" ht="15">
      <c r="B39" s="6">
        <f>B38+('simple Brayton Cycle'!T_3-'simple Brayton Cycle'!T_1)/100</f>
        <v>469.9000000000004</v>
      </c>
      <c r="C39" s="8">
        <f>_XLL.HEATCAPP('simple Brayton Cycle'!Fluid,"PT",$E$1,B39-273.15)</f>
        <v>1.023716446892061</v>
      </c>
      <c r="D39" s="6">
        <f>D38+('simple Brayton Cycle'!T_4_is-'simple Brayton Cycle'!T_3)/100</f>
        <v>707.4828234350286</v>
      </c>
      <c r="E39" s="8">
        <f>_XLL.HEATCAPP('simple Brayton Cycle'!Fluid,"PT",$E$1,D39-273.15)</f>
        <v>1.0755720731796894</v>
      </c>
    </row>
    <row r="40" spans="2:5" ht="15">
      <c r="B40" s="6">
        <f>B39+('simple Brayton Cycle'!T_3-'simple Brayton Cycle'!T_1)/100</f>
        <v>474.9500000000004</v>
      </c>
      <c r="C40" s="8">
        <f>_XLL.HEATCAPP('simple Brayton Cycle'!Fluid,"PT",$E$1,B40-273.15)</f>
        <v>1.0246025657320559</v>
      </c>
      <c r="D40" s="6">
        <f>D39+('simple Brayton Cycle'!T_4_is-'simple Brayton Cycle'!T_3)/100</f>
        <v>704.8923326760295</v>
      </c>
      <c r="E40" s="8">
        <f>_XLL.HEATCAPP('simple Brayton Cycle'!Fluid,"PT",$E$1,D40-273.15)</f>
        <v>1.074945311289119</v>
      </c>
    </row>
    <row r="41" spans="2:5" ht="15">
      <c r="B41" s="6">
        <f>B40+('simple Brayton Cycle'!T_3-'simple Brayton Cycle'!T_1)/100</f>
        <v>480.0000000000004</v>
      </c>
      <c r="C41" s="8">
        <f>_XLL.HEATCAPP('simple Brayton Cycle'!Fluid,"PT",$E$1,B41-273.15)</f>
        <v>1.0255024791751888</v>
      </c>
      <c r="D41" s="6">
        <f>D40+('simple Brayton Cycle'!T_4_is-'simple Brayton Cycle'!T_3)/100</f>
        <v>702.3018419170303</v>
      </c>
      <c r="E41" s="8">
        <f>_XLL.HEATCAPP('simple Brayton Cycle'!Fluid,"PT",$E$1,D41-273.15)</f>
        <v>1.0743188290835743</v>
      </c>
    </row>
    <row r="42" spans="2:5" ht="15">
      <c r="B42" s="6">
        <f>B41+('simple Brayton Cycle'!T_3-'simple Brayton Cycle'!T_1)/100</f>
        <v>485.0500000000004</v>
      </c>
      <c r="C42" s="8">
        <f>_XLL.HEATCAPP('simple Brayton Cycle'!Fluid,"PT",$E$1,B42-273.15)</f>
        <v>1.0264158800207346</v>
      </c>
      <c r="D42" s="6">
        <f>D41+('simple Brayton Cycle'!T_4_is-'simple Brayton Cycle'!T_3)/100</f>
        <v>699.7113511580311</v>
      </c>
      <c r="E42" s="8">
        <f>_XLL.HEATCAPP('simple Brayton Cycle'!Fluid,"PT",$E$1,D42-273.15)</f>
        <v>1.073692660540795</v>
      </c>
    </row>
    <row r="43" spans="2:5" ht="15">
      <c r="B43" s="6">
        <f>B42+('simple Brayton Cycle'!T_3-'simple Brayton Cycle'!T_1)/100</f>
        <v>490.1000000000004</v>
      </c>
      <c r="C43" s="8">
        <f>_XLL.HEATCAPP('simple Brayton Cycle'!Fluid,"PT",$E$1,B43-273.15)</f>
        <v>1.0273424623069611</v>
      </c>
      <c r="D43" s="6">
        <f>D42+('simple Brayton Cycle'!T_4_is-'simple Brayton Cycle'!T_3)/100</f>
        <v>697.1208603990319</v>
      </c>
      <c r="E43" s="8">
        <f>_XLL.HEATCAPP('simple Brayton Cycle'!Fluid,"PT",$E$1,D43-273.15)</f>
        <v>1.0730668397243095</v>
      </c>
    </row>
    <row r="44" spans="2:5" ht="15">
      <c r="B44" s="6">
        <f>B43+('simple Brayton Cycle'!T_3-'simple Brayton Cycle'!T_1)/100</f>
        <v>495.15000000000043</v>
      </c>
      <c r="C44" s="8">
        <f>_XLL.HEATCAPP('simple Brayton Cycle'!Fluid,"PT",$E$1,B44-273.15)</f>
        <v>1.0282819213111316</v>
      </c>
      <c r="D44" s="6">
        <f>D43+('simple Brayton Cycle'!T_4_is-'simple Brayton Cycle'!T_3)/100</f>
        <v>694.5303696400327</v>
      </c>
      <c r="E44" s="8">
        <f>_XLL.HEATCAPP('simple Brayton Cycle'!Fluid,"PT",$E$1,D44-273.15)</f>
        <v>1.072441400783435</v>
      </c>
    </row>
    <row r="45" spans="2:5" ht="15">
      <c r="B45" s="6">
        <f>B44+('simple Brayton Cycle'!T_3-'simple Brayton Cycle'!T_1)/100</f>
        <v>500.20000000000044</v>
      </c>
      <c r="C45" s="8">
        <f>_XLL.HEATCAPP('simple Brayton Cycle'!Fluid,"PT",$E$1,B45-273.15)</f>
        <v>1.0292339535495</v>
      </c>
      <c r="D45" s="6">
        <f>D44+('simple Brayton Cycle'!T_4_is-'simple Brayton Cycle'!T_3)/100</f>
        <v>691.9398788810336</v>
      </c>
      <c r="E45" s="8">
        <f>_XLL.HEATCAPP('simple Brayton Cycle'!Fluid,"PT",$E$1,D45-273.15)</f>
        <v>1.0718163779532783</v>
      </c>
    </row>
    <row r="46" spans="2:5" ht="15">
      <c r="B46" s="6">
        <f>B45+('simple Brayton Cycle'!T_3-'simple Brayton Cycle'!T_1)/100</f>
        <v>505.25000000000045</v>
      </c>
      <c r="C46" s="8">
        <f>_XLL.HEATCAPP('simple Brayton Cycle'!Fluid,"PT",$E$1,B46-273.15)</f>
        <v>1.0301982567773151</v>
      </c>
      <c r="D46" s="6">
        <f>D45+('simple Brayton Cycle'!T_4_is-'simple Brayton Cycle'!T_3)/100</f>
        <v>689.3493881220344</v>
      </c>
      <c r="E46" s="8">
        <f>_XLL.HEATCAPP('simple Brayton Cycle'!Fluid,"PT",$E$1,D46-273.15)</f>
        <v>1.0711918055547343</v>
      </c>
    </row>
    <row r="47" spans="2:5" ht="15">
      <c r="B47" s="6">
        <f>B46+('simple Brayton Cycle'!T_3-'simple Brayton Cycle'!T_1)/100</f>
        <v>510.30000000000047</v>
      </c>
      <c r="C47" s="8">
        <f>_XLL.HEATCAPP('simple Brayton Cycle'!Fluid,"PT",$E$1,B47-273.15)</f>
        <v>1.0311745299888182</v>
      </c>
      <c r="D47" s="6">
        <f>D46+('simple Brayton Cycle'!T_4_is-'simple Brayton Cycle'!T_3)/100</f>
        <v>686.7588973630352</v>
      </c>
      <c r="E47" s="8">
        <f>_XLL.HEATCAPP('simple Brayton Cycle'!Fluid,"PT",$E$1,D47-273.15)</f>
        <v>1.070567717994488</v>
      </c>
    </row>
    <row r="48" spans="2:5" ht="15">
      <c r="B48" s="6">
        <f>B47+('simple Brayton Cycle'!T_3-'simple Brayton Cycle'!T_1)/100</f>
        <v>515.3500000000005</v>
      </c>
      <c r="C48" s="8">
        <f>_XLL.HEATCAPP('simple Brayton Cycle'!Fluid,"PT",$E$1,B48-273.15)</f>
        <v>1.0321624734172452</v>
      </c>
      <c r="D48" s="6">
        <f>D47+('simple Brayton Cycle'!T_4_is-'simple Brayton Cycle'!T_3)/100</f>
        <v>684.168406604036</v>
      </c>
      <c r="E48" s="8">
        <f>_XLL.HEATCAPP('simple Brayton Cycle'!Fluid,"PT",$E$1,D48-273.15)</f>
        <v>1.0699441497650124</v>
      </c>
    </row>
    <row r="49" spans="2:5" ht="15">
      <c r="B49" s="6">
        <f>B48+('simple Brayton Cycle'!T_3-'simple Brayton Cycle'!T_1)/100</f>
        <v>520.4000000000004</v>
      </c>
      <c r="C49" s="8">
        <f>_XLL.HEATCAPP('simple Brayton Cycle'!Fluid,"PT",$E$1,B49-273.15)</f>
        <v>1.0331617885348239</v>
      </c>
      <c r="D49" s="6">
        <f>D48+('simple Brayton Cycle'!T_4_is-'simple Brayton Cycle'!T_3)/100</f>
        <v>681.5779158450368</v>
      </c>
      <c r="E49" s="8">
        <f>_XLL.HEATCAPP('simple Brayton Cycle'!Fluid,"PT",$E$1,D49-273.15)</f>
        <v>1.0693211354445702</v>
      </c>
    </row>
    <row r="50" spans="2:5" ht="15">
      <c r="B50" s="6">
        <f>B49+('simple Brayton Cycle'!T_3-'simple Brayton Cycle'!T_1)/100</f>
        <v>525.4500000000004</v>
      </c>
      <c r="C50" s="8">
        <f>_XLL.HEATCAPP('simple Brayton Cycle'!Fluid,"PT",$E$1,B50-273.15)</f>
        <v>1.0341721780527762</v>
      </c>
      <c r="D50" s="6">
        <f>D49+('simple Brayton Cycle'!T_4_is-'simple Brayton Cycle'!T_3)/100</f>
        <v>678.9874250860377</v>
      </c>
      <c r="E50" s="8">
        <f>_XLL.HEATCAPP('simple Brayton Cycle'!Fluid,"PT",$E$1,D50-273.15)</f>
        <v>1.0686987096972125</v>
      </c>
    </row>
    <row r="51" spans="2:5" ht="15">
      <c r="B51" s="6">
        <f>B50+('simple Brayton Cycle'!T_3-'simple Brayton Cycle'!T_1)/100</f>
        <v>530.5000000000003</v>
      </c>
      <c r="C51" s="8">
        <f>_XLL.HEATCAPP('simple Brayton Cycle'!Fluid,"PT",$E$1,B51-273.15)</f>
        <v>1.0351933459213174</v>
      </c>
      <c r="D51" s="6">
        <f>D50+('simple Brayton Cycle'!T_4_is-'simple Brayton Cycle'!T_3)/100</f>
        <v>676.3969343270385</v>
      </c>
      <c r="E51" s="8">
        <f>_XLL.HEATCAPP('simple Brayton Cycle'!Fluid,"PT",$E$1,D51-273.15)</f>
        <v>1.0680769072727805</v>
      </c>
    </row>
    <row r="52" spans="2:5" ht="15">
      <c r="B52" s="6">
        <f>B51+('simple Brayton Cycle'!T_3-'simple Brayton Cycle'!T_1)/100</f>
        <v>535.5500000000003</v>
      </c>
      <c r="C52" s="8">
        <f>_XLL.HEATCAPP('simple Brayton Cycle'!Fluid,"PT",$E$1,B52-273.15)</f>
        <v>1.0362249973296551</v>
      </c>
      <c r="D52" s="6">
        <f>D51+('simple Brayton Cycle'!T_4_is-'simple Brayton Cycle'!T_3)/100</f>
        <v>673.8064435680393</v>
      </c>
      <c r="E52" s="8">
        <f>_XLL.HEATCAPP('simple Brayton Cycle'!Fluid,"PT",$E$1,D52-273.15)</f>
        <v>1.0674557630069028</v>
      </c>
    </row>
    <row r="53" spans="2:5" ht="15">
      <c r="B53" s="6">
        <f>B52+('simple Brayton Cycle'!T_3-'simple Brayton Cycle'!T_1)/100</f>
        <v>540.6000000000003</v>
      </c>
      <c r="C53" s="8">
        <f>_XLL.HEATCAPP('simple Brayton Cycle'!Fluid,"PT",$E$1,B53-273.15)</f>
        <v>1.0372668387059922</v>
      </c>
      <c r="D53" s="6">
        <f>D52+('simple Brayton Cycle'!T_4_is-'simple Brayton Cycle'!T_3)/100</f>
        <v>671.2159528090401</v>
      </c>
      <c r="E53" s="8">
        <f>_XLL.HEATCAPP('simple Brayton Cycle'!Fluid,"PT",$E$1,D53-273.15)</f>
        <v>1.0668353118209983</v>
      </c>
    </row>
    <row r="54" spans="2:5" ht="15">
      <c r="B54" s="6">
        <f>B53+('simple Brayton Cycle'!T_3-'simple Brayton Cycle'!T_1)/100</f>
        <v>545.6500000000002</v>
      </c>
      <c r="C54" s="8">
        <f>_XLL.HEATCAPP('simple Brayton Cycle'!Fluid,"PT",$E$1,B54-273.15)</f>
        <v>1.0383185777175226</v>
      </c>
      <c r="D54" s="6">
        <f>D53+('simple Brayton Cycle'!T_4_is-'simple Brayton Cycle'!T_3)/100</f>
        <v>668.6254620500409</v>
      </c>
      <c r="E54" s="8">
        <f>_XLL.HEATCAPP('simple Brayton Cycle'!Fluid,"PT",$E$1,D54-273.15)</f>
        <v>1.0662155887222746</v>
      </c>
    </row>
    <row r="55" spans="2:5" ht="15">
      <c r="B55" s="6">
        <f>B54+('simple Brayton Cycle'!T_3-'simple Brayton Cycle'!T_1)/100</f>
        <v>550.7000000000002</v>
      </c>
      <c r="C55" s="8">
        <f>_XLL.HEATCAPP('simple Brayton Cycle'!Fluid,"PT",$E$1,B55-273.15)</f>
        <v>1.039379923270435</v>
      </c>
      <c r="D55" s="6">
        <f>D54+('simple Brayton Cycle'!T_4_is-'simple Brayton Cycle'!T_3)/100</f>
        <v>666.0349712910418</v>
      </c>
      <c r="E55" s="8">
        <f>_XLL.HEATCAPP('simple Brayton Cycle'!Fluid,"PT",$E$1,D55-273.15)</f>
        <v>1.065596628803728</v>
      </c>
    </row>
    <row r="56" spans="2:5" ht="15">
      <c r="B56" s="6">
        <f>B55+('simple Brayton Cycle'!T_3-'simple Brayton Cycle'!T_1)/100</f>
        <v>555.7500000000001</v>
      </c>
      <c r="C56" s="8">
        <f>_XLL.HEATCAPP('simple Brayton Cycle'!Fluid,"PT",$E$1,B56-273.15)</f>
        <v>1.0404505855099115</v>
      </c>
      <c r="D56" s="6">
        <f>D55+('simple Brayton Cycle'!T_4_is-'simple Brayton Cycle'!T_3)/100</f>
        <v>663.4444805320426</v>
      </c>
      <c r="E56" s="8">
        <f>_XLL.HEATCAPP('simple Brayton Cycle'!Fluid,"PT",$E$1,D56-273.15)</f>
        <v>1.0649784672441438</v>
      </c>
    </row>
    <row r="57" spans="2:5" ht="15">
      <c r="B57" s="6">
        <f>B56+('simple Brayton Cycle'!T_3-'simple Brayton Cycle'!T_1)/100</f>
        <v>560.8000000000001</v>
      </c>
      <c r="C57" s="8">
        <f>_XLL.HEATCAPP('simple Brayton Cycle'!Fluid,"PT",$E$1,B57-273.15)</f>
        <v>1.0415302758201268</v>
      </c>
      <c r="D57" s="6">
        <f>D56+('simple Brayton Cycle'!T_4_is-'simple Brayton Cycle'!T_3)/100</f>
        <v>660.8539897730434</v>
      </c>
      <c r="E57" s="8">
        <f>_XLL.HEATCAPP('simple Brayton Cycle'!Fluid,"PT",$E$1,D57-273.15)</f>
        <v>1.064361139308097</v>
      </c>
    </row>
    <row r="58" spans="2:5" ht="15">
      <c r="B58" s="6">
        <f>B57+('simple Brayton Cycle'!T_3-'simple Brayton Cycle'!T_1)/100</f>
        <v>565.85</v>
      </c>
      <c r="C58" s="8">
        <f>_XLL.HEATCAPP('simple Brayton Cycle'!Fluid,"PT",$E$1,B58-273.15)</f>
        <v>1.0426187068242487</v>
      </c>
      <c r="D58" s="6">
        <f>D57+('simple Brayton Cycle'!T_4_is-'simple Brayton Cycle'!T_3)/100</f>
        <v>658.2634990140442</v>
      </c>
      <c r="E58" s="8">
        <f>_XLL.HEATCAPP('simple Brayton Cycle'!Fluid,"PT",$E$1,D58-273.15)</f>
        <v>1.0637446803459507</v>
      </c>
    </row>
    <row r="59" spans="2:5" ht="15">
      <c r="B59" s="6">
        <f>B58+('simple Brayton Cycle'!T_3-'simple Brayton Cycle'!T_1)/100</f>
        <v>570.9</v>
      </c>
      <c r="C59" s="8">
        <f>_XLL.HEATCAPP('simple Brayton Cycle'!Fluid,"PT",$E$1,B59-273.15)</f>
        <v>1.04371559238444</v>
      </c>
      <c r="D59" s="6">
        <f>D58+('simple Brayton Cycle'!T_4_is-'simple Brayton Cycle'!T_3)/100</f>
        <v>655.673008255045</v>
      </c>
      <c r="E59" s="8">
        <f>_XLL.HEATCAPP('simple Brayton Cycle'!Fluid,"PT",$E$1,D59-273.15)</f>
        <v>1.0631291257938573</v>
      </c>
    </row>
    <row r="60" spans="2:5" ht="15">
      <c r="B60" s="6">
        <f>B59+('simple Brayton Cycle'!T_3-'simple Brayton Cycle'!T_1)/100</f>
        <v>575.9499999999999</v>
      </c>
      <c r="C60" s="8">
        <f>_XLL.HEATCAPP('simple Brayton Cycle'!Fluid,"PT",$E$1,B60-273.15)</f>
        <v>1.044820647601855</v>
      </c>
      <c r="D60" s="6">
        <f>D59+('simple Brayton Cycle'!T_4_is-'simple Brayton Cycle'!T_3)/100</f>
        <v>653.0825174960459</v>
      </c>
      <c r="E60" s="8">
        <f>_XLL.HEATCAPP('simple Brayton Cycle'!Fluid,"PT",$E$1,D60-273.15)</f>
        <v>1.0625145111737586</v>
      </c>
    </row>
    <row r="61" spans="2:5" ht="15">
      <c r="B61" s="6">
        <f>B60+('simple Brayton Cycle'!T_3-'simple Brayton Cycle'!T_1)/100</f>
        <v>580.9999999999999</v>
      </c>
      <c r="C61" s="8">
        <f>_XLL.HEATCAPP('simple Brayton Cycle'!Fluid,"PT",$E$1,B61-273.15)</f>
        <v>1.0459335888166414</v>
      </c>
      <c r="D61" s="6">
        <f>D60+('simple Brayton Cycle'!T_4_is-'simple Brayton Cycle'!T_3)/100</f>
        <v>650.4920267370467</v>
      </c>
      <c r="E61" s="8">
        <f>_XLL.HEATCAPP('simple Brayton Cycle'!Fluid,"PT",$E$1,D61-273.15)</f>
        <v>1.0619008720933856</v>
      </c>
    </row>
    <row r="62" spans="2:5" ht="15">
      <c r="B62" s="6">
        <f>B61+('simple Brayton Cycle'!T_3-'simple Brayton Cycle'!T_1)/100</f>
        <v>586.0499999999998</v>
      </c>
      <c r="C62" s="8">
        <f>_XLL.HEATCAPP('simple Brayton Cycle'!Fluid,"PT",$E$1,B62-273.15)</f>
        <v>1.0470541336079422</v>
      </c>
      <c r="D62" s="6">
        <f>D61+('simple Brayton Cycle'!T_4_is-'simple Brayton Cycle'!T_3)/100</f>
        <v>647.9015359780475</v>
      </c>
      <c r="E62" s="8">
        <f>_XLL.HEATCAPP('simple Brayton Cycle'!Fluid,"PT",$E$1,D62-273.15)</f>
        <v>1.0612882442462568</v>
      </c>
    </row>
    <row r="63" spans="2:5" ht="15">
      <c r="B63" s="6">
        <f>B62+('simple Brayton Cycle'!T_3-'simple Brayton Cycle'!T_1)/100</f>
        <v>591.0999999999998</v>
      </c>
      <c r="C63" s="8">
        <f>_XLL.HEATCAPP('simple Brayton Cycle'!Fluid,"PT",$E$1,B63-273.15)</f>
        <v>1.048182000793891</v>
      </c>
      <c r="D63" s="6">
        <f>D62+('simple Brayton Cycle'!T_4_is-'simple Brayton Cycle'!T_3)/100</f>
        <v>645.3110452190483</v>
      </c>
      <c r="E63" s="8">
        <f>_XLL.HEATCAPP('simple Brayton Cycle'!Fluid,"PT",$E$1,D63-273.15)</f>
        <v>1.060676663411682</v>
      </c>
    </row>
    <row r="64" spans="2:5" ht="15">
      <c r="B64" s="6">
        <f>B63+('simple Brayton Cycle'!T_3-'simple Brayton Cycle'!T_1)/100</f>
        <v>596.1499999999997</v>
      </c>
      <c r="C64" s="8">
        <f>_XLL.HEATCAPP('simple Brayton Cycle'!Fluid,"PT",$E$1,B64-273.15)</f>
        <v>1.049316910431617</v>
      </c>
      <c r="D64" s="6">
        <f>D63+('simple Brayton Cycle'!T_4_is-'simple Brayton Cycle'!T_3)/100</f>
        <v>642.7205544600491</v>
      </c>
      <c r="E64" s="8">
        <f>_XLL.HEATCAPP('simple Brayton Cycle'!Fluid,"PT",$E$1,D64-273.15)</f>
        <v>1.0600661654547574</v>
      </c>
    </row>
    <row r="65" spans="2:5" ht="15">
      <c r="B65" s="6">
        <f>B64+('simple Brayton Cycle'!T_3-'simple Brayton Cycle'!T_1)/100</f>
        <v>601.1999999999997</v>
      </c>
      <c r="C65" s="8">
        <f>_XLL.HEATCAPP('simple Brayton Cycle'!Fluid,"PT",$E$1,B65-273.15)</f>
        <v>1.0504585838172413</v>
      </c>
      <c r="D65" s="6">
        <f>D64+('simple Brayton Cycle'!T_4_is-'simple Brayton Cycle'!T_3)/100</f>
        <v>640.13006370105</v>
      </c>
      <c r="E65" s="8">
        <f>_XLL.HEATCAPP('simple Brayton Cycle'!Fluid,"PT",$E$1,D65-273.15)</f>
        <v>1.0594567863263709</v>
      </c>
    </row>
    <row r="66" spans="2:5" ht="15">
      <c r="B66" s="6">
        <f>B65+('simple Brayton Cycle'!T_3-'simple Brayton Cycle'!T_1)/100</f>
        <v>606.2499999999997</v>
      </c>
      <c r="C66" s="8">
        <f>_XLL.HEATCAPP('simple Brayton Cycle'!Fluid,"PT",$E$1,B66-273.15)</f>
        <v>1.0516067434858793</v>
      </c>
      <c r="D66" s="6">
        <f>D65+('simple Brayton Cycle'!T_4_is-'simple Brayton Cycle'!T_3)/100</f>
        <v>637.5395729420508</v>
      </c>
      <c r="E66" s="8">
        <f>_XLL.HEATCAPP('simple Brayton Cycle'!Fluid,"PT",$E$1,D66-273.15)</f>
        <v>1.058848562063197</v>
      </c>
    </row>
    <row r="67" spans="2:5" ht="15">
      <c r="B67" s="6">
        <f>B66+('simple Brayton Cycle'!T_3-'simple Brayton Cycle'!T_1)/100</f>
        <v>611.2999999999996</v>
      </c>
      <c r="C67" s="8">
        <f>_XLL.HEATCAPP('simple Brayton Cycle'!Fluid,"PT",$E$1,B67-273.15)</f>
        <v>1.0527611132116386</v>
      </c>
      <c r="D67" s="6">
        <f>D66+('simple Brayton Cycle'!T_4_is-'simple Brayton Cycle'!T_3)/100</f>
        <v>634.9490821830516</v>
      </c>
      <c r="E67" s="8">
        <f>_XLL.HEATCAPP('simple Brayton Cycle'!Fluid,"PT",$E$1,D67-273.15)</f>
        <v>1.0582415287877005</v>
      </c>
    </row>
    <row r="68" spans="2:5" ht="15">
      <c r="B68" s="6">
        <f>B67+('simple Brayton Cycle'!T_3-'simple Brayton Cycle'!T_1)/100</f>
        <v>616.3499999999996</v>
      </c>
      <c r="C68" s="8">
        <f>_XLL.HEATCAPP('simple Brayton Cycle'!Fluid,"PT",$E$1,B68-273.15)</f>
        <v>1.0539214180076217</v>
      </c>
      <c r="D68" s="6">
        <f>D67+('simple Brayton Cycle'!T_4_is-'simple Brayton Cycle'!T_3)/100</f>
        <v>632.3585914240524</v>
      </c>
      <c r="E68" s="8">
        <f>_XLL.HEATCAPP('simple Brayton Cycle'!Fluid,"PT",$E$1,D68-273.15)</f>
        <v>1.0576357227081357</v>
      </c>
    </row>
    <row r="69" spans="2:5" ht="15">
      <c r="B69" s="6">
        <f>B68+('simple Brayton Cycle'!T_3-'simple Brayton Cycle'!T_1)/100</f>
        <v>621.3999999999995</v>
      </c>
      <c r="C69" s="8">
        <f>_XLL.HEATCAPP('simple Brayton Cycle'!Fluid,"PT",$E$1,B69-273.15)</f>
        <v>1.0550873841259223</v>
      </c>
      <c r="D69" s="6">
        <f>D68+('simple Brayton Cycle'!T_4_is-'simple Brayton Cycle'!T_3)/100</f>
        <v>629.7681006650532</v>
      </c>
      <c r="E69" s="8">
        <f>_XLL.HEATCAPP('simple Brayton Cycle'!Fluid,"PT",$E$1,D69-273.15)</f>
        <v>1.0570311801185444</v>
      </c>
    </row>
    <row r="70" spans="2:5" ht="15">
      <c r="B70" s="6">
        <f>B69+('simple Brayton Cycle'!T_3-'simple Brayton Cycle'!T_1)/100</f>
        <v>626.4499999999995</v>
      </c>
      <c r="C70" s="8">
        <f>_XLL.HEATCAPP('simple Brayton Cycle'!Fluid,"PT",$E$1,B70-273.15)</f>
        <v>1.0562587390576295</v>
      </c>
      <c r="D70" s="6">
        <f>D69+('simple Brayton Cycle'!T_4_is-'simple Brayton Cycle'!T_3)/100</f>
        <v>627.177609906054</v>
      </c>
      <c r="E70" s="8">
        <f>_XLL.HEATCAPP('simple Brayton Cycle'!Fluid,"PT",$E$1,D70-273.15)</f>
        <v>1.0564279373987582</v>
      </c>
    </row>
    <row r="71" spans="2:5" ht="15">
      <c r="B71" s="6">
        <f>B70+('simple Brayton Cycle'!T_3-'simple Brayton Cycle'!T_1)/100</f>
        <v>631.4999999999994</v>
      </c>
      <c r="C71" s="8">
        <f>_XLL.HEATCAPP('simple Brayton Cycle'!Fluid,"PT",$E$1,B71-273.15)</f>
        <v>1.0574352115328245</v>
      </c>
      <c r="D71" s="6">
        <f>D70+('simple Brayton Cycle'!T_4_is-'simple Brayton Cycle'!T_3)/100</f>
        <v>624.5871191470549</v>
      </c>
      <c r="E71" s="8">
        <f>_XLL.HEATCAPP('simple Brayton Cycle'!Fluid,"PT",$E$1,D71-273.15)</f>
        <v>1.0558260310143983</v>
      </c>
    </row>
    <row r="72" spans="2:5" ht="15">
      <c r="B72" s="6">
        <f>B71+('simple Brayton Cycle'!T_3-'simple Brayton Cycle'!T_1)/100</f>
        <v>636.5499999999994</v>
      </c>
      <c r="C72" s="8">
        <f>_XLL.HEATCAPP('simple Brayton Cycle'!Fluid,"PT",$E$1,B72-273.15)</f>
        <v>1.0586165315205824</v>
      </c>
      <c r="D72" s="6">
        <f>D71+('simple Brayton Cycle'!T_4_is-'simple Brayton Cycle'!T_3)/100</f>
        <v>621.9966283880557</v>
      </c>
      <c r="E72" s="8">
        <f>_XLL.HEATCAPP('simple Brayton Cycle'!Fluid,"PT",$E$1,D72-273.15)</f>
        <v>1.055225497516874</v>
      </c>
    </row>
    <row r="73" spans="2:5" ht="15">
      <c r="B73" s="6">
        <f>B72+('simple Brayton Cycle'!T_3-'simple Brayton Cycle'!T_1)/100</f>
        <v>641.5999999999993</v>
      </c>
      <c r="C73" s="8">
        <f>_XLL.HEATCAPP('simple Brayton Cycle'!Fluid,"PT",$E$1,B73-273.15)</f>
        <v>1.0598024302289715</v>
      </c>
      <c r="D73" s="6">
        <f>D72+('simple Brayton Cycle'!T_4_is-'simple Brayton Cycle'!T_3)/100</f>
        <v>619.4061376290565</v>
      </c>
      <c r="E73" s="8">
        <f>_XLL.HEATCAPP('simple Brayton Cycle'!Fluid,"PT",$E$1,D73-273.15)</f>
        <v>1.0546263735433838</v>
      </c>
    </row>
    <row r="74" spans="2:5" ht="15">
      <c r="B74" s="6">
        <f>B73+('simple Brayton Cycle'!T_3-'simple Brayton Cycle'!T_1)/100</f>
        <v>646.6499999999993</v>
      </c>
      <c r="C74" s="8">
        <f>_XLL.HEATCAPP('simple Brayton Cycle'!Fluid,"PT",$E$1,B74-273.15)</f>
        <v>1.060992640105053</v>
      </c>
      <c r="D74" s="6">
        <f>D73+('simple Brayton Cycle'!T_4_is-'simple Brayton Cycle'!T_3)/100</f>
        <v>616.8156468700573</v>
      </c>
      <c r="E74" s="8">
        <f>_XLL.HEATCAPP('simple Brayton Cycle'!Fluid,"PT",$E$1,D74-273.15)</f>
        <v>1.0540286958169156</v>
      </c>
    </row>
    <row r="75" spans="2:5" ht="15">
      <c r="B75" s="6">
        <f>B74+('simple Brayton Cycle'!T_3-'simple Brayton Cycle'!T_1)/100</f>
        <v>651.6999999999992</v>
      </c>
      <c r="C75" s="8">
        <f>_XLL.HEATCAPP('simple Brayton Cycle'!Fluid,"PT",$E$1,B75-273.15)</f>
        <v>1.0621868948348816</v>
      </c>
      <c r="D75" s="6">
        <f>D74+('simple Brayton Cycle'!T_4_is-'simple Brayton Cycle'!T_3)/100</f>
        <v>614.2251561110581</v>
      </c>
      <c r="E75" s="8">
        <f>_XLL.HEATCAPP('simple Brayton Cycle'!Fluid,"PT",$E$1,D75-273.15)</f>
        <v>1.0534325011462458</v>
      </c>
    </row>
    <row r="76" spans="2:5" ht="15">
      <c r="B76" s="6">
        <f>B75+('simple Brayton Cycle'!T_3-'simple Brayton Cycle'!T_1)/100</f>
        <v>656.7499999999992</v>
      </c>
      <c r="C76" s="8">
        <f>_XLL.HEATCAPP('simple Brayton Cycle'!Fluid,"PT",$E$1,B76-273.15)</f>
        <v>1.0633849293435058</v>
      </c>
      <c r="D76" s="6">
        <f>D75+('simple Brayton Cycle'!T_4_is-'simple Brayton Cycle'!T_3)/100</f>
        <v>611.634665352059</v>
      </c>
      <c r="E76" s="8">
        <f>_XLL.HEATCAPP('simple Brayton Cycle'!Fluid,"PT",$E$1,D76-273.15)</f>
        <v>1.0528378264259404</v>
      </c>
    </row>
    <row r="77" spans="2:5" ht="15">
      <c r="B77" s="6">
        <f>B76+('simple Brayton Cycle'!T_3-'simple Brayton Cycle'!T_1)/100</f>
        <v>661.7999999999992</v>
      </c>
      <c r="C77" s="8">
        <f>_XLL.HEATCAPP('simple Brayton Cycle'!Fluid,"PT",$E$1,B77-273.15)</f>
        <v>1.0645864797949671</v>
      </c>
      <c r="D77" s="6">
        <f>D76+('simple Brayton Cycle'!T_4_is-'simple Brayton Cycle'!T_3)/100</f>
        <v>609.0441745930598</v>
      </c>
      <c r="E77" s="8">
        <f>_XLL.HEATCAPP('simple Brayton Cycle'!Fluid,"PT",$E$1,D77-273.15)</f>
        <v>1.0522447086363536</v>
      </c>
    </row>
    <row r="78" spans="2:5" ht="15">
      <c r="B78" s="6">
        <f>B77+('simple Brayton Cycle'!T_3-'simple Brayton Cycle'!T_1)/100</f>
        <v>666.8499999999991</v>
      </c>
      <c r="C78" s="8">
        <f>_XLL.HEATCAPP('simple Brayton Cycle'!Fluid,"PT",$E$1,B78-273.15)</f>
        <v>1.0657912835923</v>
      </c>
      <c r="D78" s="6">
        <f>D77+('simple Brayton Cycle'!T_4_is-'simple Brayton Cycle'!T_3)/100</f>
        <v>606.4536838340606</v>
      </c>
      <c r="E78" s="8">
        <f>_XLL.HEATCAPP('simple Brayton Cycle'!Fluid,"PT",$E$1,D78-273.15)</f>
        <v>1.0516531848436292</v>
      </c>
    </row>
    <row r="79" spans="2:5" ht="15">
      <c r="B79" s="6">
        <f>B78+('simple Brayton Cycle'!T_3-'simple Brayton Cycle'!T_1)/100</f>
        <v>671.8999999999991</v>
      </c>
      <c r="C79" s="8">
        <f>_XLL.HEATCAPP('simple Brayton Cycle'!Fluid,"PT",$E$1,B79-273.15)</f>
        <v>1.0669990793775332</v>
      </c>
      <c r="D79" s="6">
        <f>D78+('simple Brayton Cycle'!T_4_is-'simple Brayton Cycle'!T_3)/100</f>
        <v>603.8631930750614</v>
      </c>
      <c r="E79" s="8">
        <f>_XLL.HEATCAPP('simple Brayton Cycle'!Fluid,"PT",$E$1,D79-273.15)</f>
        <v>1.0510632921997</v>
      </c>
    </row>
    <row r="80" spans="2:5" ht="15">
      <c r="B80" s="6">
        <f>B79+('simple Brayton Cycle'!T_3-'simple Brayton Cycle'!T_1)/100</f>
        <v>676.949999999999</v>
      </c>
      <c r="C80" s="8">
        <f>_XLL.HEATCAPP('simple Brayton Cycle'!Fluid,"PT",$E$1,B80-273.15)</f>
        <v>1.068209607031688</v>
      </c>
      <c r="D80" s="6">
        <f>D79+('simple Brayton Cycle'!T_4_is-'simple Brayton Cycle'!T_3)/100</f>
        <v>601.2727023160622</v>
      </c>
      <c r="E80" s="8">
        <f>_XLL.HEATCAPP('simple Brayton Cycle'!Fluid,"PT",$E$1,D80-273.15)</f>
        <v>1.0504750679422876</v>
      </c>
    </row>
    <row r="81" spans="2:5" ht="15">
      <c r="B81" s="6">
        <f>B80+('simple Brayton Cycle'!T_3-'simple Brayton Cycle'!T_1)/100</f>
        <v>681.999999999999</v>
      </c>
      <c r="C81" s="8">
        <f>_XLL.HEATCAPP('simple Brayton Cycle'!Fluid,"PT",$E$1,B81-273.15)</f>
        <v>1.0694226076747788</v>
      </c>
      <c r="D81" s="6">
        <f>D80+('simple Brayton Cycle'!T_4_is-'simple Brayton Cycle'!T_3)/100</f>
        <v>598.682211557063</v>
      </c>
      <c r="E81" s="8">
        <f>_XLL.HEATCAPP('simple Brayton Cycle'!Fluid,"PT",$E$1,D81-273.15)</f>
        <v>1.0498885493949028</v>
      </c>
    </row>
    <row r="82" spans="2:5" ht="15">
      <c r="B82" s="6">
        <f>B81+('simple Brayton Cycle'!T_3-'simple Brayton Cycle'!T_1)/100</f>
        <v>687.0499999999989</v>
      </c>
      <c r="C82" s="8">
        <f>_XLL.HEATCAPP('simple Brayton Cycle'!Fluid,"PT",$E$1,B82-273.15)</f>
        <v>1.0706378236658138</v>
      </c>
      <c r="D82" s="6">
        <f>D81+('simple Brayton Cycle'!T_4_is-'simple Brayton Cycle'!T_3)/100</f>
        <v>596.0917207980639</v>
      </c>
      <c r="E82" s="8">
        <f>_XLL.HEATCAPP('simple Brayton Cycle'!Fluid,"PT",$E$1,D82-273.15)</f>
        <v>1.0493037739668454</v>
      </c>
    </row>
    <row r="83" spans="2:5" ht="15">
      <c r="B83" s="6">
        <f>B82+('simple Brayton Cycle'!T_3-'simple Brayton Cycle'!T_1)/100</f>
        <v>692.0999999999989</v>
      </c>
      <c r="C83" s="8">
        <f>_XLL.HEATCAPP('simple Brayton Cycle'!Fluid,"PT",$E$1,B83-273.15)</f>
        <v>1.0718549986027952</v>
      </c>
      <c r="D83" s="6">
        <f>D82+('simple Brayton Cycle'!T_4_is-'simple Brayton Cycle'!T_3)/100</f>
        <v>593.5012300390647</v>
      </c>
      <c r="E83" s="8">
        <f>_XLL.HEATCAPP('simple Brayton Cycle'!Fluid,"PT",$E$1,D83-273.15)</f>
        <v>1.0487207791532036</v>
      </c>
    </row>
    <row r="84" spans="2:5" ht="15">
      <c r="B84" s="6">
        <f>B83+('simple Brayton Cycle'!T_3-'simple Brayton Cycle'!T_1)/100</f>
        <v>697.1499999999988</v>
      </c>
      <c r="C84" s="8">
        <f>_XLL.HEATCAPP('simple Brayton Cycle'!Fluid,"PT",$E$1,B84-273.15)</f>
        <v>1.0730738773227166</v>
      </c>
      <c r="D84" s="6">
        <f>D83+('simple Brayton Cycle'!T_4_is-'simple Brayton Cycle'!T_3)/100</f>
        <v>590.9107392800655</v>
      </c>
      <c r="E84" s="8">
        <f>_XLL.HEATCAPP('simple Brayton Cycle'!Fluid,"PT",$E$1,D84-273.15)</f>
        <v>1.0481396025348555</v>
      </c>
    </row>
    <row r="85" spans="2:5" ht="15">
      <c r="B85" s="6">
        <f>B84+('simple Brayton Cycle'!T_3-'simple Brayton Cycle'!T_1)/100</f>
        <v>702.1999999999988</v>
      </c>
      <c r="C85" s="8">
        <f>_XLL.HEATCAPP('simple Brayton Cycle'!Fluid,"PT",$E$1,B85-273.15)</f>
        <v>1.074294205901567</v>
      </c>
      <c r="D85" s="6">
        <f>D84+('simple Brayton Cycle'!T_4_is-'simple Brayton Cycle'!T_3)/100</f>
        <v>588.3202485210663</v>
      </c>
      <c r="E85" s="8">
        <f>_XLL.HEATCAPP('simple Brayton Cycle'!Fluid,"PT",$E$1,D85-273.15)</f>
        <v>1.0475602817784677</v>
      </c>
    </row>
    <row r="86" spans="2:5" ht="15">
      <c r="B86" s="6">
        <f>B85+('simple Brayton Cycle'!T_3-'simple Brayton Cycle'!T_1)/100</f>
        <v>707.2499999999987</v>
      </c>
      <c r="C86" s="8">
        <f>_XLL.HEATCAPP('simple Brayton Cycle'!Fluid,"PT",$E$1,B86-273.15)</f>
        <v>1.0755157316543276</v>
      </c>
      <c r="D86" s="6">
        <f>D85+('simple Brayton Cycle'!T_4_is-'simple Brayton Cycle'!T_3)/100</f>
        <v>585.7297577620672</v>
      </c>
      <c r="E86" s="8">
        <f>_XLL.HEATCAPP('simple Brayton Cycle'!Fluid,"PT",$E$1,D86-273.15)</f>
        <v>1.0469828546364959</v>
      </c>
    </row>
    <row r="87" spans="2:5" ht="15">
      <c r="B87" s="6">
        <f>B86+('simple Brayton Cycle'!T_3-'simple Brayton Cycle'!T_1)/100</f>
        <v>712.2999999999987</v>
      </c>
      <c r="C87" s="8">
        <f>_XLL.HEATCAPP('simple Brayton Cycle'!Fluid,"PT",$E$1,B87-273.15)</f>
        <v>1.076738203134973</v>
      </c>
      <c r="D87" s="6">
        <f>D86+('simple Brayton Cycle'!T_4_is-'simple Brayton Cycle'!T_3)/100</f>
        <v>583.139267003068</v>
      </c>
      <c r="E87" s="8">
        <f>_XLL.HEATCAPP('simple Brayton Cycle'!Fluid,"PT",$E$1,D87-273.15)</f>
        <v>1.0464073589471852</v>
      </c>
    </row>
    <row r="88" spans="2:5" ht="15">
      <c r="B88" s="6">
        <f>B87+('simple Brayton Cycle'!T_3-'simple Brayton Cycle'!T_1)/100</f>
        <v>717.3499999999987</v>
      </c>
      <c r="C88" s="8">
        <f>_XLL.HEATCAPP('simple Brayton Cycle'!Fluid,"PT",$E$1,B88-273.15)</f>
        <v>1.0779613701364712</v>
      </c>
      <c r="D88" s="6">
        <f>D87+('simple Brayton Cycle'!T_4_is-'simple Brayton Cycle'!T_3)/100</f>
        <v>580.5487762440688</v>
      </c>
      <c r="E88" s="8">
        <f>_XLL.HEATCAPP('simple Brayton Cycle'!Fluid,"PT",$E$1,D88-273.15)</f>
        <v>1.0458338326345689</v>
      </c>
    </row>
    <row r="89" spans="2:5" ht="15">
      <c r="B89" s="6">
        <f>B88+('simple Brayton Cycle'!T_3-'simple Brayton Cycle'!T_1)/100</f>
        <v>722.3999999999986</v>
      </c>
      <c r="C89" s="8">
        <f>_XLL.HEATCAPP('simple Brayton Cycle'!Fluid,"PT",$E$1,B89-273.15)</f>
        <v>1.079184983690784</v>
      </c>
      <c r="D89" s="6">
        <f>D88+('simple Brayton Cycle'!T_4_is-'simple Brayton Cycle'!T_3)/100</f>
        <v>577.9582854850696</v>
      </c>
      <c r="E89" s="8">
        <f>_XLL.HEATCAPP('simple Brayton Cycle'!Fluid,"PT",$E$1,D89-273.15)</f>
        <v>1.0452623137084696</v>
      </c>
    </row>
    <row r="90" spans="2:5" ht="15">
      <c r="B90" s="6">
        <f>B89+('simple Brayton Cycle'!T_3-'simple Brayton Cycle'!T_1)/100</f>
        <v>727.4499999999986</v>
      </c>
      <c r="C90" s="8">
        <f>_XLL.HEATCAPP('simple Brayton Cycle'!Fluid,"PT",$E$1,B90-273.15)</f>
        <v>1.0804087960688658</v>
      </c>
      <c r="D90" s="6">
        <f>D89+('simple Brayton Cycle'!T_4_is-'simple Brayton Cycle'!T_3)/100</f>
        <v>575.3677947260704</v>
      </c>
      <c r="E90" s="8">
        <f>_XLL.HEATCAPP('simple Brayton Cycle'!Fluid,"PT",$E$1,D90-273.15)</f>
        <v>1.0446928402644993</v>
      </c>
    </row>
    <row r="91" spans="2:5" ht="15">
      <c r="B91" s="6">
        <f>B90+('simple Brayton Cycle'!T_3-'simple Brayton Cycle'!T_1)/100</f>
        <v>732.4999999999985</v>
      </c>
      <c r="C91" s="8">
        <f>_XLL.HEATCAPP('simple Brayton Cycle'!Fluid,"PT",$E$1,B91-273.15)</f>
        <v>1.081632560780665</v>
      </c>
      <c r="D91" s="6">
        <f>D90+('simple Brayton Cycle'!T_4_is-'simple Brayton Cycle'!T_3)/100</f>
        <v>572.7773039670712</v>
      </c>
      <c r="E91" s="8">
        <f>_XLL.HEATCAPP('simple Brayton Cycle'!Fluid,"PT",$E$1,D91-273.15)</f>
        <v>1.0441254504840591</v>
      </c>
    </row>
    <row r="92" spans="2:5" ht="15">
      <c r="B92" s="6">
        <f>B91+('simple Brayton Cycle'!T_3-'simple Brayton Cycle'!T_1)/100</f>
        <v>737.5499999999985</v>
      </c>
      <c r="C92" s="8">
        <f>_XLL.HEATCAPP('simple Brayton Cycle'!Fluid,"PT",$E$1,B92-273.15)</f>
        <v>1.082856032575122</v>
      </c>
      <c r="D92" s="6">
        <f>D91+('simple Brayton Cycle'!T_4_is-'simple Brayton Cycle'!T_3)/100</f>
        <v>570.1868132080721</v>
      </c>
      <c r="E92" s="8">
        <f>_XLL.HEATCAPP('simple Brayton Cycle'!Fluid,"PT",$E$1,D92-273.15)</f>
        <v>1.0435601826343381</v>
      </c>
    </row>
    <row r="93" spans="2:5" ht="15">
      <c r="B93" s="6">
        <f>B92+('simple Brayton Cycle'!T_3-'simple Brayton Cycle'!T_1)/100</f>
        <v>742.5999999999984</v>
      </c>
      <c r="C93" s="8">
        <f>_XLL.HEATCAPP('simple Brayton Cycle'!Fluid,"PT",$E$1,B93-273.15)</f>
        <v>1.0840789674401727</v>
      </c>
      <c r="D93" s="6">
        <f>D92+('simple Brayton Cycle'!T_4_is-'simple Brayton Cycle'!T_3)/100</f>
        <v>567.5963224490729</v>
      </c>
      <c r="E93" s="8">
        <f>_XLL.HEATCAPP('simple Brayton Cycle'!Fluid,"PT",$E$1,D93-273.15)</f>
        <v>1.0429970750683157</v>
      </c>
    </row>
    <row r="94" spans="2:5" ht="15">
      <c r="B94" s="6">
        <f>B93+('simple Brayton Cycle'!T_3-'simple Brayton Cycle'!T_1)/100</f>
        <v>747.6499999999984</v>
      </c>
      <c r="C94" s="8">
        <f>_XLL.HEATCAPP('simple Brayton Cycle'!Fluid,"PT",$E$1,B94-273.15)</f>
        <v>1.0853011226027445</v>
      </c>
      <c r="D94" s="6">
        <f>D93+('simple Brayton Cycle'!T_4_is-'simple Brayton Cycle'!T_3)/100</f>
        <v>565.0058316900737</v>
      </c>
      <c r="E94" s="8">
        <f>_XLL.HEATCAPP('simple Brayton Cycle'!Fluid,"PT",$E$1,D94-273.15)</f>
        <v>1.0424361662247592</v>
      </c>
    </row>
    <row r="95" spans="2:5" ht="15">
      <c r="B95" s="6">
        <f>B94+('simple Brayton Cycle'!T_3-'simple Brayton Cycle'!T_1)/100</f>
        <v>752.6999999999983</v>
      </c>
      <c r="C95" s="8">
        <f>_XLL.HEATCAPP('simple Brayton Cycle'!Fluid,"PT",$E$1,B95-273.15)</f>
        <v>1.086522256528759</v>
      </c>
      <c r="D95" s="6">
        <f>D94+('simple Brayton Cycle'!T_4_is-'simple Brayton Cycle'!T_3)/100</f>
        <v>562.4153409310745</v>
      </c>
      <c r="E95" s="8">
        <f>_XLL.HEATCAPP('simple Brayton Cycle'!Fluid,"PT",$E$1,D95-273.15)</f>
        <v>1.0418774946282259</v>
      </c>
    </row>
    <row r="96" spans="2:5" ht="15">
      <c r="B96" s="6">
        <f>B95+('simple Brayton Cycle'!T_3-'simple Brayton Cycle'!T_1)/100</f>
        <v>757.7499999999983</v>
      </c>
      <c r="C96" s="8">
        <f>_XLL.HEATCAPP('simple Brayton Cycle'!Fluid,"PT",$E$1,B96-273.15)</f>
        <v>1.0877421289231302</v>
      </c>
      <c r="D96" s="6">
        <f>D95+('simple Brayton Cycle'!T_4_is-'simple Brayton Cycle'!T_3)/100</f>
        <v>559.8248501720753</v>
      </c>
      <c r="E96" s="8">
        <f>_XLL.HEATCAPP('simple Brayton Cycle'!Fluid,"PT",$E$1,D96-273.15)</f>
        <v>1.0413210988890613</v>
      </c>
    </row>
    <row r="97" spans="2:5" ht="15">
      <c r="B97" s="6">
        <f>B96+('simple Brayton Cycle'!T_3-'simple Brayton Cycle'!T_1)/100</f>
        <v>762.7999999999982</v>
      </c>
      <c r="C97" s="8">
        <f>_XLL.HEATCAPP('simple Brayton Cycle'!Fluid,"PT",$E$1,B97-273.15)</f>
        <v>1.0889605007297671</v>
      </c>
      <c r="D97" s="6">
        <f>D96+('simple Brayton Cycle'!T_4_is-'simple Brayton Cycle'!T_3)/100</f>
        <v>557.2343594130762</v>
      </c>
      <c r="E97" s="8">
        <f>_XLL.HEATCAPP('simple Brayton Cycle'!Fluid,"PT",$E$1,D97-273.15)</f>
        <v>1.0407670177033999</v>
      </c>
    </row>
    <row r="98" spans="2:5" ht="15">
      <c r="B98" s="6">
        <f>B97+('simple Brayton Cycle'!T_3-'simple Brayton Cycle'!T_1)/100</f>
        <v>767.8499999999982</v>
      </c>
      <c r="C98" s="8">
        <f>_XLL.HEATCAPP('simple Brayton Cycle'!Fluid,"PT",$E$1,B98-273.15)</f>
        <v>1.0901771341315705</v>
      </c>
      <c r="D98" s="6">
        <f>D97+('simple Brayton Cycle'!T_4_is-'simple Brayton Cycle'!T_3)/100</f>
        <v>554.643868654077</v>
      </c>
      <c r="E98" s="8">
        <f>_XLL.HEATCAPP('simple Brayton Cycle'!Fluid,"PT",$E$1,D98-273.15)</f>
        <v>1.0402152898531658</v>
      </c>
    </row>
    <row r="99" spans="2:5" ht="15">
      <c r="B99" s="6">
        <f>B98+('simple Brayton Cycle'!T_3-'simple Brayton Cycle'!T_1)/100</f>
        <v>772.8999999999982</v>
      </c>
      <c r="C99" s="8">
        <f>_XLL.HEATCAPP('simple Brayton Cycle'!Fluid,"PT",$E$1,B99-273.15)</f>
        <v>1.0913917925504348</v>
      </c>
      <c r="D99" s="6">
        <f>D98+('simple Brayton Cycle'!T_4_is-'simple Brayton Cycle'!T_3)/100</f>
        <v>552.0533778950778</v>
      </c>
      <c r="E99" s="8">
        <f>_XLL.HEATCAPP('simple Brayton Cycle'!Fluid,"PT",$E$1,D99-273.15)</f>
        <v>1.0396659542060722</v>
      </c>
    </row>
    <row r="100" spans="2:5" ht="15">
      <c r="B100" s="6">
        <f>B99+('simple Brayton Cycle'!T_3-'simple Brayton Cycle'!T_1)/100</f>
        <v>777.9499999999981</v>
      </c>
      <c r="C100" s="8">
        <f>_XLL.HEATCAPP('simple Brayton Cycle'!Fluid,"PT",$E$1,B100-273.15)</f>
        <v>1.0926042406472487</v>
      </c>
      <c r="D100" s="6">
        <f>D99+('simple Brayton Cycle'!T_4_is-'simple Brayton Cycle'!T_3)/100</f>
        <v>549.4628871360786</v>
      </c>
      <c r="E100" s="8">
        <f>_XLL.HEATCAPP('simple Brayton Cycle'!Fluid,"PT",$E$1,D100-273.15)</f>
        <v>1.0391190497156204</v>
      </c>
    </row>
    <row r="101" spans="2:5" ht="15">
      <c r="B101" s="6">
        <f>B100+('simple Brayton Cycle'!T_3-'simple Brayton Cycle'!T_1)/100</f>
        <v>782.9999999999981</v>
      </c>
      <c r="C101" s="8">
        <f>_XLL.HEATCAPP('simple Brayton Cycle'!Fluid,"PT",$E$1,B101-273.15)</f>
        <v>1.093814244321893</v>
      </c>
      <c r="D101" s="6">
        <f>D100+('simple Brayton Cycle'!T_4_is-'simple Brayton Cycle'!T_3)/100</f>
        <v>546.8723963770794</v>
      </c>
      <c r="E101" s="8">
        <f>_XLL.HEATCAPP('simple Brayton Cycle'!Fluid,"PT",$E$1,D101-273.15)</f>
        <v>1.0385746154211013</v>
      </c>
    </row>
    <row r="102" spans="2:5" ht="15">
      <c r="B102" s="6">
        <f>B101+('simple Brayton Cycle'!T_3-'simple Brayton Cycle'!T_1)/100</f>
        <v>788.049999999998</v>
      </c>
      <c r="C102" s="8">
        <f>_XLL.HEATCAPP('simple Brayton Cycle'!Fluid,"PT",$E$1,B102-273.15)</f>
        <v>1.095021570713242</v>
      </c>
      <c r="D102" s="6">
        <f>D101+('simple Brayton Cycle'!T_4_is-'simple Brayton Cycle'!T_3)/100</f>
        <v>544.2819056180803</v>
      </c>
      <c r="E102" s="8">
        <f>_XLL.HEATCAPP('simple Brayton Cycle'!Fluid,"PT",$E$1,D102-273.15)</f>
        <v>1.038032690447595</v>
      </c>
    </row>
    <row r="103" spans="2:5" ht="15">
      <c r="B103" s="6">
        <f>B102+('simple Brayton Cycle'!T_3-'simple Brayton Cycle'!T_1)/100</f>
        <v>793.099999999998</v>
      </c>
      <c r="C103" s="8">
        <f>_XLL.HEATCAPP('simple Brayton Cycle'!Fluid,"PT",$E$1,B103-273.15)</f>
        <v>1.0962259881991645</v>
      </c>
      <c r="D103" s="6">
        <f>D102+('simple Brayton Cycle'!T_4_is-'simple Brayton Cycle'!T_3)/100</f>
        <v>541.6914148590811</v>
      </c>
      <c r="E103" s="8">
        <f>_XLL.HEATCAPP('simple Brayton Cycle'!Fluid,"PT",$E$1,D103-273.15)</f>
        <v>1.0374933140059701</v>
      </c>
    </row>
    <row r="104" spans="2:5" ht="15">
      <c r="B104" s="6">
        <f>B103+('simple Brayton Cycle'!T_3-'simple Brayton Cycle'!T_1)/100</f>
        <v>798.1499999999979</v>
      </c>
      <c r="C104" s="8">
        <f>_XLL.HEATCAPP('simple Brayton Cycle'!Fluid,"PT",$E$1,B104-273.15)</f>
        <v>1.097427266396521</v>
      </c>
      <c r="D104" s="6">
        <f>D103+('simple Brayton Cycle'!T_4_is-'simple Brayton Cycle'!T_3)/100</f>
        <v>539.1009241000819</v>
      </c>
      <c r="E104" s="8">
        <f>_XLL.HEATCAPP('simple Brayton Cycle'!Fluid,"PT",$E$1,D104-273.15)</f>
        <v>1.0369565253928847</v>
      </c>
    </row>
    <row r="105" spans="2:5" ht="15">
      <c r="B105" s="6">
        <f>B104+('simple Brayton Cycle'!T_3-'simple Brayton Cycle'!T_1)/100</f>
        <v>803.1999999999979</v>
      </c>
      <c r="C105" s="8">
        <f>_XLL.HEATCAPP('simple Brayton Cycle'!Fluid,"PT",$E$1,B105-273.15)</f>
        <v>1.0986251761611663</v>
      </c>
      <c r="D105" s="6">
        <f>D104+('simple Brayton Cycle'!T_4_is-'simple Brayton Cycle'!T_3)/100</f>
        <v>536.5104333410827</v>
      </c>
      <c r="E105" s="8">
        <f>_XLL.HEATCAPP('simple Brayton Cycle'!Fluid,"PT",$E$1,D105-273.15)</f>
        <v>1.0364223639907855</v>
      </c>
    </row>
    <row r="106" spans="2:5" ht="15">
      <c r="B106" s="6">
        <f>B105+('simple Brayton Cycle'!T_3-'simple Brayton Cycle'!T_1)/100</f>
        <v>808.2499999999978</v>
      </c>
      <c r="C106" s="8">
        <f>_XLL.HEATCAPP('simple Brayton Cycle'!Fluid,"PT",$E$1,B106-273.15)</f>
        <v>1.099819489587949</v>
      </c>
      <c r="D106" s="6">
        <f>D105+('simple Brayton Cycle'!T_4_is-'simple Brayton Cycle'!T_3)/100</f>
        <v>533.9199425820835</v>
      </c>
      <c r="E106" s="8">
        <f>_XLL.HEATCAPP('simple Brayton Cycle'!Fluid,"PT",$E$1,D106-273.15)</f>
        <v>1.0358908692679083</v>
      </c>
    </row>
    <row r="107" spans="4:5" ht="15">
      <c r="D107" s="6">
        <f>D106+('simple Brayton Cycle'!T_4_is-'simple Brayton Cycle'!T_3)/100</f>
        <v>531.3294518230844</v>
      </c>
      <c r="E107" s="8">
        <f>_XLL.HEATCAPP('simple Brayton Cycle'!Fluid,"PT",$E$1,D107-273.15)</f>
        <v>1.0353620807782784</v>
      </c>
    </row>
    <row r="108" spans="4:5" ht="15">
      <c r="D108" s="6">
        <f>D107+('simple Brayton Cycle'!T_4_is-'simple Brayton Cycle'!T_3)/100</f>
        <v>528.7389610640852</v>
      </c>
      <c r="E108" s="8">
        <f>_XLL.HEATCAPP('simple Brayton Cycle'!Fluid,"PT",$E$1,D108-273.15)</f>
        <v>1.0348360381617088</v>
      </c>
    </row>
    <row r="109" spans="4:5" ht="15">
      <c r="D109" s="6">
        <f>D108+('simple Brayton Cycle'!T_4_is-'simple Brayton Cycle'!T_3)/100</f>
        <v>526.148470305086</v>
      </c>
      <c r="E109" s="8">
        <f>_XLL.HEATCAPP('simple Brayton Cycle'!Fluid,"PT",$E$1,D109-273.15)</f>
        <v>1.0343127811438033</v>
      </c>
    </row>
    <row r="110" spans="4:5" ht="15">
      <c r="D110" s="6">
        <f>D109+('simple Brayton Cycle'!T_4_is-'simple Brayton Cycle'!T_3)/100</f>
        <v>523.5579795460868</v>
      </c>
      <c r="E110" s="8">
        <f>_XLL.HEATCAPP('simple Brayton Cycle'!Fluid,"PT",$E$1,D110-273.15)</f>
        <v>1.0337923495359536</v>
      </c>
    </row>
    <row r="111" spans="4:5" ht="15">
      <c r="D111" s="6">
        <f>D110+('simple Brayton Cycle'!T_4_is-'simple Brayton Cycle'!T_3)/100</f>
        <v>520.9674887870876</v>
      </c>
      <c r="E111" s="8">
        <f>_XLL.HEATCAPP('simple Brayton Cycle'!Fluid,"PT",$E$1,D111-273.15)</f>
        <v>1.0332747832353402</v>
      </c>
    </row>
    <row r="112" spans="4:5" ht="15">
      <c r="D112" s="6">
        <f>D111+('simple Brayton Cycle'!T_4_is-'simple Brayton Cycle'!T_3)/100</f>
        <v>518.3769980280885</v>
      </c>
      <c r="E112" s="8">
        <f>_XLL.HEATCAPP('simple Brayton Cycle'!Fluid,"PT",$E$1,D112-273.15)</f>
        <v>1.0327601222249336</v>
      </c>
    </row>
    <row r="113" spans="4:5" ht="15">
      <c r="D113" s="6">
        <f>D112+('simple Brayton Cycle'!T_4_is-'simple Brayton Cycle'!T_3)/100</f>
        <v>515.7865072690893</v>
      </c>
      <c r="E113" s="8">
        <f>_XLL.HEATCAPP('simple Brayton Cycle'!Fluid,"PT",$E$1,D113-273.15)</f>
        <v>1.0322484065734923</v>
      </c>
    </row>
    <row r="114" spans="4:5" ht="15">
      <c r="D114" s="6">
        <f>D113+('simple Brayton Cycle'!T_4_is-'simple Brayton Cycle'!T_3)/100</f>
        <v>513.1960165100901</v>
      </c>
      <c r="E114" s="8">
        <f>_XLL.HEATCAPP('simple Brayton Cycle'!Fluid,"PT",$E$1,D114-273.15)</f>
        <v>1.0317396764355642</v>
      </c>
    </row>
    <row r="115" spans="4:5" ht="15">
      <c r="D115" s="6">
        <f>D114+('simple Brayton Cycle'!T_4_is-'simple Brayton Cycle'!T_3)/100</f>
        <v>510.60552575109097</v>
      </c>
      <c r="E115" s="8">
        <f>_XLL.HEATCAPP('simple Brayton Cycle'!Fluid,"PT",$E$1,D115-273.15)</f>
        <v>1.0312339720514865</v>
      </c>
    </row>
    <row r="116" spans="4:5" ht="15">
      <c r="D116" s="6">
        <f>D115+('simple Brayton Cycle'!T_4_is-'simple Brayton Cycle'!T_3)/100</f>
        <v>508.01503499209184</v>
      </c>
      <c r="E116" s="8">
        <f>_XLL.HEATCAPP('simple Brayton Cycle'!Fluid,"PT",$E$1,D116-273.15)</f>
        <v>1.0307313337473853</v>
      </c>
    </row>
    <row r="117" spans="4:5" ht="15">
      <c r="D117" s="6">
        <f>D116+('simple Brayton Cycle'!T_4_is-'simple Brayton Cycle'!T_3)/100</f>
        <v>505.4245442330927</v>
      </c>
      <c r="E117" s="8">
        <f>_XLL.HEATCAPP('simple Brayton Cycle'!Fluid,"PT",$E$1,D117-273.15)</f>
        <v>1.0302318019351753</v>
      </c>
    </row>
    <row r="118" spans="4:5" ht="15">
      <c r="D118" s="6">
        <f>D117+('simple Brayton Cycle'!T_4_is-'simple Brayton Cycle'!T_3)/100</f>
        <v>502.8340534740936</v>
      </c>
      <c r="E118" s="8">
        <f>_XLL.HEATCAPP('simple Brayton Cycle'!Fluid,"PT",$E$1,D118-273.15)</f>
        <v>1.0297354171125603</v>
      </c>
    </row>
    <row r="119" spans="4:5" ht="15">
      <c r="D119" s="6">
        <f>D118+('simple Brayton Cycle'!T_4_is-'simple Brayton Cycle'!T_3)/100</f>
        <v>500.24356271509447</v>
      </c>
      <c r="E119" s="8">
        <f>_XLL.HEATCAPP('simple Brayton Cycle'!Fluid,"PT",$E$1,D119-273.15)</f>
        <v>1.0292422198630333</v>
      </c>
    </row>
    <row r="120" spans="4:5" ht="15">
      <c r="D120" s="6">
        <f>D119+('simple Brayton Cycle'!T_4_is-'simple Brayton Cycle'!T_3)/100</f>
        <v>497.65307195609535</v>
      </c>
      <c r="E120" s="8">
        <f>_XLL.HEATCAPP('simple Brayton Cycle'!Fluid,"PT",$E$1,D120-273.15)</f>
        <v>1.0287522508558768</v>
      </c>
    </row>
    <row r="121" spans="4:5" ht="15">
      <c r="D121" s="6">
        <f>D120+('simple Brayton Cycle'!T_4_is-'simple Brayton Cycle'!T_3)/100</f>
        <v>495.0625811970962</v>
      </c>
      <c r="E121" s="8">
        <f>_XLL.HEATCAPP('simple Brayton Cycle'!Fluid,"PT",$E$1,D121-273.15)</f>
        <v>1.0282655508461613</v>
      </c>
    </row>
  </sheetData>
  <sheetProtection/>
  <printOptions/>
  <pageMargins left="0.7" right="0.7" top="0.75" bottom="0.75" header="0.3" footer="0.3"/>
  <pageSetup orientation="portrait" paperSize="9"/>
  <ignoredErrors>
    <ignoredError sqref="D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Casati - 3ME</dc:creator>
  <cp:keywords/>
  <dc:description/>
  <cp:lastModifiedBy>Piero Colonna di Paliano</cp:lastModifiedBy>
  <cp:lastPrinted>2010-11-24T12:28:26Z</cp:lastPrinted>
  <dcterms:created xsi:type="dcterms:W3CDTF">2010-11-11T10:48:59Z</dcterms:created>
  <dcterms:modified xsi:type="dcterms:W3CDTF">2010-12-13T09:36:19Z</dcterms:modified>
  <cp:category/>
  <cp:version/>
  <cp:contentType/>
  <cp:contentStatus/>
</cp:coreProperties>
</file>