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13335" activeTab="0"/>
  </bookViews>
  <sheets>
    <sheet name="simple Otto Cycle" sheetId="1" r:id="rId1"/>
    <sheet name="T-s diagr. data" sheetId="2" r:id="rId2"/>
  </sheets>
  <definedNames>
    <definedName name="Fluid">'simple Otto Cycle'!$A$12</definedName>
    <definedName name="gamma">'simple Otto Cycle'!$B$15</definedName>
    <definedName name="M_mol">'simple Otto Cycle'!$B$9</definedName>
    <definedName name="mass">'simple Otto Cycle'!$C$60</definedName>
    <definedName name="P_2">'simple Otto Cycle'!$B$30</definedName>
    <definedName name="P_3">'simple Otto Cycle'!$B$31</definedName>
    <definedName name="P_3_GM">'simple Otto Cycle'!$B$32</definedName>
    <definedName name="P_4">'simple Otto Cycle'!$B$40</definedName>
    <definedName name="P_4_GM">'simple Otto Cycle'!$B$41</definedName>
    <definedName name="P_5">'simple Otto Cycle'!$B$49</definedName>
    <definedName name="P_5_GM">'simple Otto Cycle'!$B$50</definedName>
    <definedName name="P_in">'simple Otto Cycle'!$C$20</definedName>
    <definedName name="q_heat">'simple Otto Cycle'!$C$44</definedName>
    <definedName name="q_heat_GM">'simple Otto Cycle'!$D$44</definedName>
    <definedName name="rho">'simple Otto Cycle'!$C$25</definedName>
    <definedName name="s_2">'simple Otto Cycle'!$D$30</definedName>
    <definedName name="s_3">'simple Otto Cycle'!$D$31</definedName>
    <definedName name="s_3_GM">'simple Otto Cycle'!$D$32</definedName>
    <definedName name="s_4">'simple Otto Cycle'!$D$40</definedName>
    <definedName name="s_4_GM">'simple Otto Cycle'!$D$41</definedName>
    <definedName name="s_5">'simple Otto Cycle'!$D$49</definedName>
    <definedName name="s_5_GM">'simple Otto Cycle'!$D$50</definedName>
    <definedName name="T_2">'simple Otto Cycle'!$C$30</definedName>
    <definedName name="T_3">'simple Otto Cycle'!$C$31</definedName>
    <definedName name="T_3_GM">'simple Otto Cycle'!$C$32</definedName>
    <definedName name="T_4">'simple Otto Cycle'!$C$40</definedName>
    <definedName name="T_4_GM">'simple Otto Cycle'!$C$41</definedName>
    <definedName name="T_5">'simple Otto Cycle'!$C$49</definedName>
    <definedName name="T_5_GM">'simple Otto Cycle'!$C$50</definedName>
    <definedName name="T_in">'simple Otto Cycle'!$C$19</definedName>
    <definedName name="T_max">'simple Otto Cycle'!$C$22</definedName>
    <definedName name="u_2">'simple Otto Cycle'!$E$30</definedName>
    <definedName name="u_3">'simple Otto Cycle'!$E$31</definedName>
    <definedName name="u_3_GM">'simple Otto Cycle'!$E$32</definedName>
    <definedName name="u_4">'simple Otto Cycle'!$E$40</definedName>
    <definedName name="u_4_GM">'simple Otto Cycle'!$E$41</definedName>
    <definedName name="u_5">'simple Otto Cycle'!$E$49</definedName>
    <definedName name="u_5_GM">'simple Otto Cycle'!$E$50</definedName>
    <definedName name="v_2">'simple Otto Cycle'!$F$30</definedName>
    <definedName name="v_3">'simple Otto Cycle'!$F$31</definedName>
    <definedName name="v_3_GM">'simple Otto Cycle'!$F$32</definedName>
    <definedName name="v_4">'simple Otto Cycle'!$F$40</definedName>
    <definedName name="v_4_GM">'simple Otto Cycle'!$F$41</definedName>
    <definedName name="v_5">'simple Otto Cycle'!$F$49</definedName>
    <definedName name="v_5_GM">'simple Otto Cycle'!$F$50</definedName>
    <definedName name="v_cyl">'simple Otto Cycle'!$C$24</definedName>
    <definedName name="w_compr">'simple Otto Cycle'!$C$35</definedName>
    <definedName name="w_compr_GM">'simple Otto Cycle'!$D$35</definedName>
    <definedName name="w_expan">'simple Otto Cycle'!$C$53</definedName>
    <definedName name="w_expan_GM">'simple Otto Cycle'!$D$53</definedName>
    <definedName name="w_net">'simple Otto Cycle'!$C$58</definedName>
    <definedName name="w_net_GM">'simple Otto Cycle'!$D$58</definedName>
  </definedNames>
  <calcPr fullCalcOnLoad="1"/>
</workbook>
</file>

<file path=xl/comments1.xml><?xml version="1.0" encoding="utf-8"?>
<comments xmlns="http://schemas.openxmlformats.org/spreadsheetml/2006/main">
  <authors>
    <author>Emiliano Casati - 3ME</author>
  </authors>
  <commentList>
    <comment ref="A31" authorId="0">
      <text>
        <r>
          <rPr>
            <b/>
            <sz val="9"/>
            <rFont val="Tahoma"/>
            <family val="2"/>
          </rPr>
          <t>assumption:
gamma = constant</t>
        </r>
      </text>
    </comment>
    <comment ref="A32" authorId="0">
      <text>
        <r>
          <rPr>
            <sz val="9"/>
            <rFont val="Tahoma"/>
            <family val="2"/>
          </rPr>
          <t xml:space="preserve">No assumptions on gamma, all quantities evaluated with GasMix
</t>
        </r>
      </text>
    </comment>
    <comment ref="C34" authorId="0">
      <text>
        <r>
          <rPr>
            <b/>
            <sz val="9"/>
            <rFont val="Tahoma"/>
            <family val="2"/>
          </rPr>
          <t>assumption:
gamma = constant</t>
        </r>
        <r>
          <rPr>
            <sz val="9"/>
            <rFont val="Tahoma"/>
            <family val="2"/>
          </rPr>
          <t xml:space="preserve">
</t>
        </r>
      </text>
    </comment>
    <comment ref="D34" authorId="0">
      <text>
        <r>
          <rPr>
            <sz val="9"/>
            <rFont val="Tahoma"/>
            <family val="2"/>
          </rPr>
          <t>No assumptions on gamma, all quantities evaluated with GasMix</t>
        </r>
      </text>
    </comment>
    <comment ref="D52" authorId="0">
      <text>
        <r>
          <rPr>
            <sz val="9"/>
            <rFont val="Tahoma"/>
            <family val="2"/>
          </rPr>
          <t>No assumptions on gamma, all quantities evaluated with GasMix</t>
        </r>
      </text>
    </comment>
    <comment ref="C57" authorId="0">
      <text>
        <r>
          <rPr>
            <b/>
            <sz val="9"/>
            <rFont val="Tahoma"/>
            <family val="2"/>
          </rPr>
          <t>assumption:
gamma = constant</t>
        </r>
        <r>
          <rPr>
            <sz val="9"/>
            <rFont val="Tahoma"/>
            <family val="2"/>
          </rPr>
          <t xml:space="preserve">
</t>
        </r>
      </text>
    </comment>
    <comment ref="D57" authorId="0">
      <text>
        <r>
          <rPr>
            <sz val="9"/>
            <rFont val="Tahoma"/>
            <family val="2"/>
          </rPr>
          <t>No assumptions on gamma, all quantities evaluated with GasMix</t>
        </r>
      </text>
    </comment>
    <comment ref="C52" authorId="0">
      <text>
        <r>
          <rPr>
            <b/>
            <sz val="9"/>
            <rFont val="Tahoma"/>
            <family val="2"/>
          </rPr>
          <t>assumption:
gamma = constant</t>
        </r>
        <r>
          <rPr>
            <sz val="9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9"/>
            <rFont val="Tahoma"/>
            <family val="2"/>
          </rPr>
          <t>assumption:
gamma = constant</t>
        </r>
        <r>
          <rPr>
            <sz val="9"/>
            <rFont val="Tahoma"/>
            <family val="2"/>
          </rPr>
          <t xml:space="preserve">
</t>
        </r>
      </text>
    </comment>
    <comment ref="D43" authorId="0">
      <text>
        <r>
          <rPr>
            <sz val="9"/>
            <rFont val="Tahoma"/>
            <family val="2"/>
          </rPr>
          <t>No assumptions on gamma, all quantities evaluated with GasMix</t>
        </r>
      </text>
    </comment>
  </commentList>
</comments>
</file>

<file path=xl/sharedStrings.xml><?xml version="1.0" encoding="utf-8"?>
<sst xmlns="http://schemas.openxmlformats.org/spreadsheetml/2006/main" count="105" uniqueCount="62">
  <si>
    <t>Fluid</t>
  </si>
  <si>
    <t>Thermodynamic model</t>
  </si>
  <si>
    <t>air</t>
  </si>
  <si>
    <t>O2</t>
  </si>
  <si>
    <t>N2</t>
  </si>
  <si>
    <t>Ar</t>
  </si>
  <si>
    <t>composition</t>
  </si>
  <si>
    <t>T</t>
  </si>
  <si>
    <t>s</t>
  </si>
  <si>
    <t>state</t>
  </si>
  <si>
    <t>T [K]</t>
  </si>
  <si>
    <t>GM</t>
  </si>
  <si>
    <t>4_GM</t>
  </si>
  <si>
    <t>Main assumption: gamma=const.</t>
  </si>
  <si>
    <t>w_net [kJ/kg]</t>
  </si>
  <si>
    <t>P [bar]</t>
  </si>
  <si>
    <t>s [kJ/kg/K]</t>
  </si>
  <si>
    <t>s [kJ/kgK]</t>
  </si>
  <si>
    <t>isentropic expansion</t>
  </si>
  <si>
    <t>isentropic compression</t>
  </si>
  <si>
    <t>P</t>
  </si>
  <si>
    <r>
      <t>g</t>
    </r>
    <r>
      <rPr>
        <b/>
        <sz val="10"/>
        <color indexed="8"/>
        <rFont val="Arial"/>
        <family val="2"/>
      </rPr>
      <t xml:space="preserve"> = const</t>
    </r>
  </si>
  <si>
    <t>g</t>
  </si>
  <si>
    <t>Analysis of a simple Otto Cycle</t>
  </si>
  <si>
    <t>P_in [bar]</t>
  </si>
  <si>
    <t>T_in [K]</t>
  </si>
  <si>
    <t>Design data</t>
  </si>
  <si>
    <t xml:space="preserve">Beginning of compression: </t>
  </si>
  <si>
    <t xml:space="preserve">T_max [K] </t>
  </si>
  <si>
    <t xml:space="preserve">Max. temperature:  </t>
  </si>
  <si>
    <t>Cylinder volume</t>
  </si>
  <si>
    <r>
      <t>v [cm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] </t>
    </r>
  </si>
  <si>
    <t>u [kJ/kg]</t>
  </si>
  <si>
    <t>Compression ratio</t>
  </si>
  <si>
    <t>ρ</t>
  </si>
  <si>
    <r>
      <t>v [m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/kg]</t>
    </r>
  </si>
  <si>
    <t>3_GM</t>
  </si>
  <si>
    <t>w_compr [kJ/kg]</t>
  </si>
  <si>
    <t>w_expan [kJ/kg]</t>
  </si>
  <si>
    <t>q_heat [kJ/kg]</t>
  </si>
  <si>
    <t>eta</t>
  </si>
  <si>
    <t>m [kg]</t>
  </si>
  <si>
    <t>Mole mass [kg/kmol]</t>
  </si>
  <si>
    <t>W_net [kJ]</t>
  </si>
  <si>
    <t>Isochoric curves</t>
  </si>
  <si>
    <t xml:space="preserve">Isochoric heating </t>
  </si>
  <si>
    <t xml:space="preserve">isochoric cooling </t>
  </si>
  <si>
    <t>v</t>
  </si>
  <si>
    <t>Isentropic curves</t>
  </si>
  <si>
    <r>
      <t>v [m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/kg]</t>
    </r>
  </si>
  <si>
    <t>or: T = Pv/R</t>
  </si>
  <si>
    <t>or: v = RT/P</t>
  </si>
  <si>
    <t>Isentropic compression (state 2 ==&gt; 3)</t>
  </si>
  <si>
    <t>5_GM</t>
  </si>
  <si>
    <t>Isochoric heating (state 3 ==&gt; 4)</t>
  </si>
  <si>
    <t>Isentropic expansion (state 4 ==&gt; 5)</t>
  </si>
  <si>
    <t>Isobaric curves</t>
  </si>
  <si>
    <r>
      <t>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[bar] = </t>
    </r>
  </si>
  <si>
    <r>
      <t>v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[m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/kg] = </t>
    </r>
  </si>
  <si>
    <r>
      <t>v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>[m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/kg] = </t>
    </r>
  </si>
  <si>
    <r>
      <t>s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= s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[kJ/kgK] = </t>
    </r>
  </si>
  <si>
    <r>
      <t>s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= s</t>
    </r>
    <r>
      <rPr>
        <vertAlign val="sub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[kJ/kgK] = </t>
    </r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</si>
</sst>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000000000"/>
    <numFmt numFmtId="181" formatCode="0.000000000000"/>
    <numFmt numFmtId="182" formatCode="0.00000000000"/>
    <numFmt numFmtId="183" formatCode="0.0E+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vertAlign val="subscript"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Symbol"/>
      <family val="1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6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vertAlign val="subscript"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2"/>
      <color indexed="12"/>
      <name val="Times New Roman"/>
      <family val="0"/>
    </font>
    <font>
      <b/>
      <vertAlign val="superscript"/>
      <sz val="14"/>
      <color indexed="8"/>
      <name val="Times New Roman"/>
      <family val="0"/>
    </font>
    <font>
      <b/>
      <sz val="12"/>
      <color indexed="62"/>
      <name val="Times New Roman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173" fontId="8" fillId="35" borderId="0" xfId="0" applyNumberFormat="1" applyFont="1" applyFill="1" applyAlignment="1">
      <alignment horizontal="center"/>
    </xf>
    <xf numFmtId="175" fontId="8" fillId="35" borderId="0" xfId="0" applyNumberFormat="1" applyFont="1" applyFill="1" applyAlignment="1">
      <alignment horizontal="center"/>
    </xf>
    <xf numFmtId="0" fontId="7" fillId="35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2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74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/>
    </xf>
    <xf numFmtId="175" fontId="7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/>
    </xf>
    <xf numFmtId="2" fontId="8" fillId="36" borderId="12" xfId="0" applyNumberFormat="1" applyFont="1" applyFill="1" applyBorder="1" applyAlignment="1">
      <alignment horizontal="center"/>
    </xf>
    <xf numFmtId="2" fontId="8" fillId="36" borderId="13" xfId="0" applyNumberFormat="1" applyFont="1" applyFill="1" applyBorder="1" applyAlignment="1">
      <alignment horizontal="center"/>
    </xf>
    <xf numFmtId="0" fontId="7" fillId="36" borderId="14" xfId="0" applyFont="1" applyFill="1" applyBorder="1" applyAlignment="1">
      <alignment/>
    </xf>
    <xf numFmtId="174" fontId="8" fillId="36" borderId="0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174" fontId="8" fillId="36" borderId="15" xfId="0" applyNumberFormat="1" applyFont="1" applyFill="1" applyBorder="1" applyAlignment="1">
      <alignment horizontal="center"/>
    </xf>
    <xf numFmtId="0" fontId="7" fillId="36" borderId="16" xfId="0" applyFont="1" applyFill="1" applyBorder="1" applyAlignment="1">
      <alignment/>
    </xf>
    <xf numFmtId="174" fontId="8" fillId="36" borderId="17" xfId="0" applyNumberFormat="1" applyFont="1" applyFill="1" applyBorder="1" applyAlignment="1">
      <alignment horizontal="center"/>
    </xf>
    <xf numFmtId="174" fontId="8" fillId="36" borderId="18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/>
    </xf>
    <xf numFmtId="0" fontId="10" fillId="35" borderId="0" xfId="0" applyFont="1" applyFill="1" applyAlignment="1">
      <alignment horizontal="center"/>
    </xf>
    <xf numFmtId="173" fontId="8" fillId="35" borderId="0" xfId="0" applyNumberFormat="1" applyFont="1" applyFill="1" applyAlignment="1">
      <alignment horizontal="left"/>
    </xf>
    <xf numFmtId="183" fontId="8" fillId="36" borderId="15" xfId="0" applyNumberFormat="1" applyFont="1" applyFill="1" applyBorder="1" applyAlignment="1">
      <alignment horizontal="center"/>
    </xf>
    <xf numFmtId="2" fontId="8" fillId="35" borderId="0" xfId="0" applyNumberFormat="1" applyFont="1" applyFill="1" applyAlignment="1">
      <alignment horizontal="center"/>
    </xf>
    <xf numFmtId="183" fontId="8" fillId="36" borderId="0" xfId="0" applyNumberFormat="1" applyFont="1" applyFill="1" applyBorder="1" applyAlignment="1">
      <alignment horizontal="center"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 horizontal="center"/>
    </xf>
    <xf numFmtId="183" fontId="8" fillId="36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T-s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chart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6275"/>
          <c:w val="0.94375"/>
          <c:h val="0.877"/>
        </c:manualLayout>
      </c:layout>
      <c:scatterChart>
        <c:scatterStyle val="lineMarker"/>
        <c:varyColors val="0"/>
        <c:ser>
          <c:idx val="8"/>
          <c:order val="0"/>
          <c:tx>
            <c:v>Isobar P2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 diagr. data'!$D$8:$D$106</c:f>
              <c:numCache>
                <c:ptCount val="99"/>
                <c:pt idx="0">
                  <c:v>5.045942525369879</c:v>
                </c:pt>
                <c:pt idx="1">
                  <c:v>5.462838473173383</c:v>
                </c:pt>
                <c:pt idx="2">
                  <c:v>5.756798459155557</c:v>
                </c:pt>
                <c:pt idx="3">
                  <c:v>5.983624143176978</c:v>
                </c:pt>
                <c:pt idx="4">
                  <c:v>6.1681621026207445</c:v>
                </c:pt>
                <c:pt idx="5">
                  <c:v>6.323658828314716</c:v>
                </c:pt>
                <c:pt idx="6">
                  <c:v>6.458014975833462</c:v>
                </c:pt>
                <c:pt idx="7">
                  <c:v>6.576321153468359</c:v>
                </c:pt>
                <c:pt idx="8">
                  <c:v>6.682048377830171</c:v>
                </c:pt>
                <c:pt idx="9">
                  <c:v>6.777668102470992</c:v>
                </c:pt>
                <c:pt idx="10">
                  <c:v>6.86500131575165</c:v>
                </c:pt>
                <c:pt idx="11">
                  <c:v>6.945427423538025</c:v>
                </c:pt>
                <c:pt idx="12">
                  <c:v>7.020015500765226</c:v>
                </c:pt>
                <c:pt idx="13">
                  <c:v>7.089610150995602</c:v>
                </c:pt>
                <c:pt idx="14">
                  <c:v>7.1548895993667365</c:v>
                </c:pt>
                <c:pt idx="15">
                  <c:v>7.216406142915084</c:v>
                </c:pt>
                <c:pt idx="16">
                  <c:v>7.274615021350614</c:v>
                </c:pt>
                <c:pt idx="17">
                  <c:v>7.329895471581249</c:v>
                </c:pt>
                <c:pt idx="18">
                  <c:v>7.382566375412483</c:v>
                </c:pt>
                <c:pt idx="19">
                  <c:v>7.432898085514746</c:v>
                </c:pt>
                <c:pt idx="20">
                  <c:v>7.481121497771079</c:v>
                </c:pt>
                <c:pt idx="21">
                  <c:v>7.527435105290391</c:v>
                </c:pt>
                <c:pt idx="22">
                  <c:v>7.5720105500356825</c:v>
                </c:pt>
                <c:pt idx="23">
                  <c:v>7.614997040409321</c:v>
                </c:pt>
                <c:pt idx="24">
                  <c:v>7.656524901902398</c:v>
                </c:pt>
                <c:pt idx="25">
                  <c:v>7.6967084572808036</c:v>
                </c:pt>
                <c:pt idx="26">
                  <c:v>7.735648382718377</c:v>
                </c:pt>
                <c:pt idx="27">
                  <c:v>7.773433650293224</c:v>
                </c:pt>
                <c:pt idx="28">
                  <c:v>7.810143141039787</c:v>
                </c:pt>
                <c:pt idx="29">
                  <c:v>7.84584699341076</c:v>
                </c:pt>
                <c:pt idx="30">
                  <c:v>7.880607737579832</c:v>
                </c:pt>
                <c:pt idx="31">
                  <c:v>7.9144812551465415</c:v>
                </c:pt>
                <c:pt idx="32">
                  <c:v>7.947517595532382</c:v>
                </c:pt>
                <c:pt idx="33">
                  <c:v>7.979761674004932</c:v>
                </c:pt>
                <c:pt idx="34">
                  <c:v>8.01125387134661</c:v>
                </c:pt>
                <c:pt idx="35">
                  <c:v>8.042030551343863</c:v>
                </c:pt>
                <c:pt idx="36">
                  <c:v>8.072124509251442</c:v>
                </c:pt>
                <c:pt idx="37">
                  <c:v>8.101565361993487</c:v>
                </c:pt>
                <c:pt idx="38">
                  <c:v>8.130379888955169</c:v>
                </c:pt>
                <c:pt idx="39">
                  <c:v>8.158591919886346</c:v>
                </c:pt>
                <c:pt idx="40">
                  <c:v>8.186223848195896</c:v>
                </c:pt>
                <c:pt idx="41">
                  <c:v>8.21330158909882</c:v>
                </c:pt>
                <c:pt idx="42">
                  <c:v>8.23984853155092</c:v>
                </c:pt>
                <c:pt idx="43">
                  <c:v>8.265886524316603</c:v>
                </c:pt>
                <c:pt idx="44">
                  <c:v>8.291436011062007</c:v>
                </c:pt>
                <c:pt idx="45">
                  <c:v>8.316516150918421</c:v>
                </c:pt>
                <c:pt idx="46">
                  <c:v>8.341144926351843</c:v>
                </c:pt>
                <c:pt idx="47">
                  <c:v>8.365339239909472</c:v>
                </c:pt>
                <c:pt idx="48">
                  <c:v>8.389115001191733</c:v>
                </c:pt>
                <c:pt idx="49">
                  <c:v>8.412487205211407</c:v>
                </c:pt>
                <c:pt idx="50">
                  <c:v>8.435470003143605</c:v>
                </c:pt>
                <c:pt idx="51">
                  <c:v>8.458076766336323</c:v>
                </c:pt>
                <c:pt idx="52">
                  <c:v>8.48032014433765</c:v>
                </c:pt>
                <c:pt idx="53">
                  <c:v>8.502212117598388</c:v>
                </c:pt>
                <c:pt idx="54">
                  <c:v>8.523764045425938</c:v>
                </c:pt>
                <c:pt idx="55">
                  <c:v>8.544986709693726</c:v>
                </c:pt>
                <c:pt idx="56">
                  <c:v>8.565890354749243</c:v>
                </c:pt>
                <c:pt idx="57">
                  <c:v>8.586484723910617</c:v>
                </c:pt>
                <c:pt idx="58">
                  <c:v>8.606779092895783</c:v>
                </c:pt>
                <c:pt idx="59">
                  <c:v>8.626782300488518</c:v>
                </c:pt>
                <c:pt idx="60">
                  <c:v>8.64650277671097</c:v>
                </c:pt>
                <c:pt idx="61">
                  <c:v>8.665948568742078</c:v>
                </c:pt>
                <c:pt idx="62">
                  <c:v>8.685127364794901</c:v>
                </c:pt>
                <c:pt idx="63">
                  <c:v>8.704046516142773</c:v>
                </c:pt>
                <c:pt idx="64">
                  <c:v>8.722713057463848</c:v>
                </c:pt>
                <c:pt idx="65">
                  <c:v>8.741133725655825</c:v>
                </c:pt>
                <c:pt idx="66">
                  <c:v>8.75931497725682</c:v>
                </c:pt>
                <c:pt idx="67">
                  <c:v>8.77726300459449</c:v>
                </c:pt>
                <c:pt idx="68">
                  <c:v>8.79498375077324</c:v>
                </c:pt>
                <c:pt idx="69">
                  <c:v>8.812482923598385</c:v>
                </c:pt>
                <c:pt idx="70">
                  <c:v>8.829766008526512</c:v>
                </c:pt>
                <c:pt idx="71">
                  <c:v>8.846838280722608</c:v>
                </c:pt>
                <c:pt idx="72">
                  <c:v>8.8637048162969</c:v>
                </c:pt>
                <c:pt idx="73">
                  <c:v>8.880370502787487</c:v>
                </c:pt>
                <c:pt idx="74">
                  <c:v>8.896840048948675</c:v>
                </c:pt>
                <c:pt idx="75">
                  <c:v>8.913117993899517</c:v>
                </c:pt>
                <c:pt idx="76">
                  <c:v>8.929208715682051</c:v>
                </c:pt>
                <c:pt idx="77">
                  <c:v>8.94511643927441</c:v>
                </c:pt>
                <c:pt idx="78">
                  <c:v>8.960845244099875</c:v>
                </c:pt>
                <c:pt idx="79">
                  <c:v>8.97639907106956</c:v>
                </c:pt>
                <c:pt idx="80">
                  <c:v>8.991781729192926</c:v>
                </c:pt>
                <c:pt idx="81">
                  <c:v>9.006996901787662</c:v>
                </c:pt>
                <c:pt idx="82">
                  <c:v>9.022048152317701</c:v>
                </c:pt>
                <c:pt idx="83">
                  <c:v>9.036938929885737</c:v>
                </c:pt>
                <c:pt idx="84">
                  <c:v>9.051672574404533</c:v>
                </c:pt>
                <c:pt idx="85">
                  <c:v>9.0662523214693</c:v>
                </c:pt>
                <c:pt idx="86">
                  <c:v>9.080681306951613</c:v>
                </c:pt>
                <c:pt idx="87">
                  <c:v>9.094962571333786</c:v>
                </c:pt>
                <c:pt idx="88">
                  <c:v>9.109099063801079</c:v>
                </c:pt>
                <c:pt idx="89">
                  <c:v>9.1230936461078</c:v>
                </c:pt>
                <c:pt idx="90">
                  <c:v>9.136949096232136</c:v>
                </c:pt>
                <c:pt idx="91">
                  <c:v>9.150668111833413</c:v>
                </c:pt>
                <c:pt idx="92">
                  <c:v>9.164253313524465</c:v>
                </c:pt>
                <c:pt idx="93">
                  <c:v>9.177707247970853</c:v>
                </c:pt>
                <c:pt idx="94">
                  <c:v>9.1910323908278</c:v>
                </c:pt>
                <c:pt idx="95">
                  <c:v>9.204231149524968</c:v>
                </c:pt>
                <c:pt idx="96">
                  <c:v>9.217305865908406</c:v>
                </c:pt>
                <c:pt idx="97">
                  <c:v>9.230258818748359</c:v>
                </c:pt>
                <c:pt idx="98">
                  <c:v>9.243092226121101</c:v>
                </c:pt>
              </c:numCache>
            </c:numRef>
          </c:xVal>
          <c:yVal>
            <c:numRef>
              <c:f>'T-s diagr. data'!$A$8:$A$106</c:f>
              <c:numCache>
                <c:ptCount val="99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225</c:v>
                </c:pt>
                <c:pt idx="8">
                  <c:v>250</c:v>
                </c:pt>
                <c:pt idx="9">
                  <c:v>275</c:v>
                </c:pt>
                <c:pt idx="10">
                  <c:v>300</c:v>
                </c:pt>
                <c:pt idx="11">
                  <c:v>325</c:v>
                </c:pt>
                <c:pt idx="12">
                  <c:v>350</c:v>
                </c:pt>
                <c:pt idx="13">
                  <c:v>375</c:v>
                </c:pt>
                <c:pt idx="14">
                  <c:v>400</c:v>
                </c:pt>
                <c:pt idx="15">
                  <c:v>425</c:v>
                </c:pt>
                <c:pt idx="16">
                  <c:v>450</c:v>
                </c:pt>
                <c:pt idx="17">
                  <c:v>475</c:v>
                </c:pt>
                <c:pt idx="18">
                  <c:v>500</c:v>
                </c:pt>
                <c:pt idx="19">
                  <c:v>525</c:v>
                </c:pt>
                <c:pt idx="20">
                  <c:v>550</c:v>
                </c:pt>
                <c:pt idx="21">
                  <c:v>575</c:v>
                </c:pt>
                <c:pt idx="22">
                  <c:v>600</c:v>
                </c:pt>
                <c:pt idx="23">
                  <c:v>625</c:v>
                </c:pt>
                <c:pt idx="24">
                  <c:v>650</c:v>
                </c:pt>
                <c:pt idx="25">
                  <c:v>675</c:v>
                </c:pt>
                <c:pt idx="26">
                  <c:v>700</c:v>
                </c:pt>
                <c:pt idx="27">
                  <c:v>725</c:v>
                </c:pt>
                <c:pt idx="28">
                  <c:v>750</c:v>
                </c:pt>
                <c:pt idx="29">
                  <c:v>775</c:v>
                </c:pt>
                <c:pt idx="30">
                  <c:v>800</c:v>
                </c:pt>
                <c:pt idx="31">
                  <c:v>825</c:v>
                </c:pt>
                <c:pt idx="32">
                  <c:v>850</c:v>
                </c:pt>
                <c:pt idx="33">
                  <c:v>875</c:v>
                </c:pt>
                <c:pt idx="34">
                  <c:v>900</c:v>
                </c:pt>
                <c:pt idx="35">
                  <c:v>925</c:v>
                </c:pt>
                <c:pt idx="36">
                  <c:v>950</c:v>
                </c:pt>
                <c:pt idx="37">
                  <c:v>975</c:v>
                </c:pt>
                <c:pt idx="38">
                  <c:v>1000</c:v>
                </c:pt>
                <c:pt idx="39">
                  <c:v>1025</c:v>
                </c:pt>
                <c:pt idx="40">
                  <c:v>1050</c:v>
                </c:pt>
                <c:pt idx="41">
                  <c:v>1075</c:v>
                </c:pt>
                <c:pt idx="42">
                  <c:v>1100</c:v>
                </c:pt>
                <c:pt idx="43">
                  <c:v>1125</c:v>
                </c:pt>
                <c:pt idx="44">
                  <c:v>1150</c:v>
                </c:pt>
                <c:pt idx="45">
                  <c:v>1175</c:v>
                </c:pt>
                <c:pt idx="46">
                  <c:v>1200</c:v>
                </c:pt>
                <c:pt idx="47">
                  <c:v>1225</c:v>
                </c:pt>
                <c:pt idx="48">
                  <c:v>1250</c:v>
                </c:pt>
                <c:pt idx="49">
                  <c:v>1275</c:v>
                </c:pt>
                <c:pt idx="50">
                  <c:v>1300</c:v>
                </c:pt>
                <c:pt idx="51">
                  <c:v>1325</c:v>
                </c:pt>
                <c:pt idx="52">
                  <c:v>1350</c:v>
                </c:pt>
                <c:pt idx="53">
                  <c:v>1375</c:v>
                </c:pt>
                <c:pt idx="54">
                  <c:v>1400</c:v>
                </c:pt>
                <c:pt idx="55">
                  <c:v>1425</c:v>
                </c:pt>
                <c:pt idx="56">
                  <c:v>1450</c:v>
                </c:pt>
                <c:pt idx="57">
                  <c:v>1475</c:v>
                </c:pt>
                <c:pt idx="58">
                  <c:v>1500</c:v>
                </c:pt>
                <c:pt idx="59">
                  <c:v>1525</c:v>
                </c:pt>
                <c:pt idx="60">
                  <c:v>1550</c:v>
                </c:pt>
                <c:pt idx="61">
                  <c:v>1575</c:v>
                </c:pt>
                <c:pt idx="62">
                  <c:v>1600</c:v>
                </c:pt>
                <c:pt idx="63">
                  <c:v>1625</c:v>
                </c:pt>
                <c:pt idx="64">
                  <c:v>1650</c:v>
                </c:pt>
                <c:pt idx="65">
                  <c:v>1675</c:v>
                </c:pt>
                <c:pt idx="66">
                  <c:v>1700</c:v>
                </c:pt>
                <c:pt idx="67">
                  <c:v>1725</c:v>
                </c:pt>
                <c:pt idx="68">
                  <c:v>1750</c:v>
                </c:pt>
                <c:pt idx="69">
                  <c:v>1775</c:v>
                </c:pt>
                <c:pt idx="70">
                  <c:v>1800</c:v>
                </c:pt>
                <c:pt idx="71">
                  <c:v>1825</c:v>
                </c:pt>
                <c:pt idx="72">
                  <c:v>1850</c:v>
                </c:pt>
                <c:pt idx="73">
                  <c:v>1875</c:v>
                </c:pt>
                <c:pt idx="74">
                  <c:v>1900</c:v>
                </c:pt>
                <c:pt idx="75">
                  <c:v>1925</c:v>
                </c:pt>
                <c:pt idx="76">
                  <c:v>1950</c:v>
                </c:pt>
                <c:pt idx="77">
                  <c:v>1975</c:v>
                </c:pt>
                <c:pt idx="78">
                  <c:v>2000</c:v>
                </c:pt>
                <c:pt idx="79">
                  <c:v>2025</c:v>
                </c:pt>
                <c:pt idx="80">
                  <c:v>2050</c:v>
                </c:pt>
                <c:pt idx="81">
                  <c:v>2075</c:v>
                </c:pt>
                <c:pt idx="82">
                  <c:v>2100</c:v>
                </c:pt>
                <c:pt idx="83">
                  <c:v>2125</c:v>
                </c:pt>
                <c:pt idx="84">
                  <c:v>2150</c:v>
                </c:pt>
                <c:pt idx="85">
                  <c:v>2175</c:v>
                </c:pt>
                <c:pt idx="86">
                  <c:v>2200</c:v>
                </c:pt>
                <c:pt idx="87">
                  <c:v>2225</c:v>
                </c:pt>
                <c:pt idx="88">
                  <c:v>2250</c:v>
                </c:pt>
                <c:pt idx="89">
                  <c:v>2275</c:v>
                </c:pt>
                <c:pt idx="90">
                  <c:v>2300</c:v>
                </c:pt>
                <c:pt idx="91">
                  <c:v>2325</c:v>
                </c:pt>
                <c:pt idx="92">
                  <c:v>2350</c:v>
                </c:pt>
                <c:pt idx="93">
                  <c:v>2375</c:v>
                </c:pt>
                <c:pt idx="94">
                  <c:v>2400</c:v>
                </c:pt>
                <c:pt idx="95">
                  <c:v>2425</c:v>
                </c:pt>
                <c:pt idx="96">
                  <c:v>2450</c:v>
                </c:pt>
                <c:pt idx="97">
                  <c:v>2475</c:v>
                </c:pt>
                <c:pt idx="98">
                  <c:v>2500</c:v>
                </c:pt>
              </c:numCache>
            </c:numRef>
          </c:yVal>
          <c:smooth val="0"/>
        </c:ser>
        <c:ser>
          <c:idx val="0"/>
          <c:order val="1"/>
          <c:tx>
            <c:v>Isochore v3 = v4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 diagr. data'!$B$8:$B$758</c:f>
              <c:numCache>
                <c:ptCount val="751"/>
                <c:pt idx="0">
                  <c:v>4.93934933981765</c:v>
                </c:pt>
                <c:pt idx="1">
                  <c:v>5.2398767758411235</c:v>
                </c:pt>
                <c:pt idx="2">
                  <c:v>5.451271988757603</c:v>
                </c:pt>
                <c:pt idx="3">
                  <c:v>5.614055459378954</c:v>
                </c:pt>
                <c:pt idx="4">
                  <c:v>5.746267120442761</c:v>
                </c:pt>
                <c:pt idx="5">
                  <c:v>5.857522591235476</c:v>
                </c:pt>
                <c:pt idx="6">
                  <c:v>5.953555220589781</c:v>
                </c:pt>
                <c:pt idx="7">
                  <c:v>6.038057659510344</c:v>
                </c:pt>
                <c:pt idx="8">
                  <c:v>6.11354640918642</c:v>
                </c:pt>
                <c:pt idx="9">
                  <c:v>6.181812106169804</c:v>
                </c:pt>
                <c:pt idx="10">
                  <c:v>6.244173048727941</c:v>
                </c:pt>
                <c:pt idx="11">
                  <c:v>6.301626894328121</c:v>
                </c:pt>
                <c:pt idx="12">
                  <c:v>6.35494597884026</c:v>
                </c:pt>
                <c:pt idx="13">
                  <c:v>6.404739670571821</c:v>
                </c:pt>
                <c:pt idx="14">
                  <c:v>6.451496559277329</c:v>
                </c:pt>
                <c:pt idx="15">
                  <c:v>6.495613832513806</c:v>
                </c:pt>
                <c:pt idx="16">
                  <c:v>6.537418242546872</c:v>
                </c:pt>
                <c:pt idx="17">
                  <c:v>6.577181396838875</c:v>
                </c:pt>
                <c:pt idx="18">
                  <c:v>6.615131121923006</c:v>
                </c:pt>
                <c:pt idx="19">
                  <c:v>6.65146005180975</c:v>
                </c:pt>
                <c:pt idx="20">
                  <c:v>6.686332216624167</c:v>
                </c:pt>
                <c:pt idx="21">
                  <c:v>6.719888165462308</c:v>
                </c:pt>
                <c:pt idx="22">
                  <c:v>6.7522489981662455</c:v>
                </c:pt>
                <c:pt idx="23">
                  <c:v>6.783519573519775</c:v>
                </c:pt>
                <c:pt idx="24">
                  <c:v>6.813791087846769</c:v>
                </c:pt>
                <c:pt idx="25">
                  <c:v>6.84314316669703</c:v>
                </c:pt>
                <c:pt idx="26">
                  <c:v>6.871645575947685</c:v>
                </c:pt>
                <c:pt idx="27">
                  <c:v>6.899359632507883</c:v>
                </c:pt>
                <c:pt idx="28">
                  <c:v>6.926339375770278</c:v>
                </c:pt>
                <c:pt idx="29">
                  <c:v>6.952632546908419</c:v>
                </c:pt>
                <c:pt idx="30">
                  <c:v>6.978281412644696</c:v>
                </c:pt>
                <c:pt idx="31">
                  <c:v>7.003323462219597</c:v>
                </c:pt>
                <c:pt idx="32">
                  <c:v>7.027792000285375</c:v>
                </c:pt>
                <c:pt idx="33">
                  <c:v>7.051716653834168</c:v>
                </c:pt>
                <c:pt idx="34">
                  <c:v>7.0751238076971426</c:v>
                </c:pt>
                <c:pt idx="35">
                  <c:v>7.098036980362169</c:v>
                </c:pt>
                <c:pt idx="36">
                  <c:v>7.120477149663341</c:v>
                </c:pt>
                <c:pt idx="37">
                  <c:v>7.142463036157828</c:v>
                </c:pt>
                <c:pt idx="38">
                  <c:v>7.1640113506199645</c:v>
                </c:pt>
                <c:pt idx="39">
                  <c:v>7.185136600169362</c:v>
                </c:pt>
                <c:pt idx="40">
                  <c:v>7.205852529645172</c:v>
                </c:pt>
                <c:pt idx="41">
                  <c:v>7.22617701629684</c:v>
                </c:pt>
                <c:pt idx="42">
                  <c:v>7.246125965558275</c:v>
                </c:pt>
                <c:pt idx="43">
                  <c:v>7.265714247267063</c:v>
                </c:pt>
                <c:pt idx="44">
                  <c:v>7.284955786388195</c:v>
                </c:pt>
                <c:pt idx="45">
                  <c:v>7.303863643980235</c:v>
                </c:pt>
                <c:pt idx="46">
                  <c:v>7.322450089636678</c:v>
                </c:pt>
                <c:pt idx="47">
                  <c:v>7.340726666457496</c:v>
                </c:pt>
                <c:pt idx="48">
                  <c:v>7.358704249456458</c:v>
                </c:pt>
                <c:pt idx="49">
                  <c:v>7.376393098184373</c:v>
                </c:pt>
                <c:pt idx="50">
                  <c:v>7.393802904242246</c:v>
                </c:pt>
                <c:pt idx="51">
                  <c:v>7.410942834268537</c:v>
                </c:pt>
                <c:pt idx="52">
                  <c:v>7.427821568908148</c:v>
                </c:pt>
                <c:pt idx="53">
                  <c:v>7.444447338205676</c:v>
                </c:pt>
                <c:pt idx="54">
                  <c:v>7.4608279538095195</c:v>
                </c:pt>
                <c:pt idx="55">
                  <c:v>7.476970838325594</c:v>
                </c:pt>
                <c:pt idx="56">
                  <c:v>7.4928830521181755</c:v>
                </c:pt>
                <c:pt idx="57">
                  <c:v>7.508571317819684</c:v>
                </c:pt>
                <c:pt idx="58">
                  <c:v>7.524042042780549</c:v>
                </c:pt>
                <c:pt idx="59">
                  <c:v>7.539301339663433</c:v>
                </c:pt>
                <c:pt idx="60">
                  <c:v>7.5543550453629</c:v>
                </c:pt>
                <c:pt idx="61">
                  <c:v>7.569208738411324</c:v>
                </c:pt>
                <c:pt idx="62">
                  <c:v>7.58386775501404</c:v>
                </c:pt>
                <c:pt idx="63">
                  <c:v>7.5983372038413455</c:v>
                </c:pt>
                <c:pt idx="64">
                  <c:v>7.6126219796911725</c:v>
                </c:pt>
                <c:pt idx="65">
                  <c:v>7.626726776124403</c:v>
                </c:pt>
                <c:pt idx="66">
                  <c:v>7.640656097164088</c:v>
                </c:pt>
                <c:pt idx="67">
                  <c:v>7.654414268140649</c:v>
                </c:pt>
                <c:pt idx="68">
                  <c:v>7.66800544575675</c:v>
                </c:pt>
                <c:pt idx="69">
                  <c:v>7.681433627438272</c:v>
                </c:pt>
                <c:pt idx="70">
                  <c:v>7.694702660031317</c:v>
                </c:pt>
                <c:pt idx="71">
                  <c:v>7.7078162478993555</c:v>
                </c:pt>
                <c:pt idx="72">
                  <c:v>7.72077796046948</c:v>
                </c:pt>
                <c:pt idx="73">
                  <c:v>7.733591239272184</c:v>
                </c:pt>
                <c:pt idx="74">
                  <c:v>7.746259404514848</c:v>
                </c:pt>
                <c:pt idx="75">
                  <c:v>7.75878566122559</c:v>
                </c:pt>
                <c:pt idx="76">
                  <c:v>7.771173105000664</c:v>
                </c:pt>
                <c:pt idx="77">
                  <c:v>7.783424727385782</c:v>
                </c:pt>
                <c:pt idx="78">
                  <c:v>7.795543420918945</c:v>
                </c:pt>
                <c:pt idx="79">
                  <c:v>7.807531983860031</c:v>
                </c:pt>
                <c:pt idx="80">
                  <c:v>7.819393124630214</c:v>
                </c:pt>
                <c:pt idx="81">
                  <c:v>7.831129465982285</c:v>
                </c:pt>
                <c:pt idx="82">
                  <c:v>7.842743548921253</c:v>
                </c:pt>
                <c:pt idx="83">
                  <c:v>7.854237836392934</c:v>
                </c:pt>
                <c:pt idx="84">
                  <c:v>7.865614716756826</c:v>
                </c:pt>
                <c:pt idx="85">
                  <c:v>7.8768765070582</c:v>
                </c:pt>
                <c:pt idx="86">
                  <c:v>7.888025456113245</c:v>
                </c:pt>
                <c:pt idx="87">
                  <c:v>7.89906374741985</c:v>
                </c:pt>
                <c:pt idx="88">
                  <c:v>7.909993501905815</c:v>
                </c:pt>
                <c:pt idx="89">
                  <c:v>7.920816780525158</c:v>
                </c:pt>
                <c:pt idx="90">
                  <c:v>7.931535586712599</c:v>
                </c:pt>
                <c:pt idx="91">
                  <c:v>7.942151868705314</c:v>
                </c:pt>
                <c:pt idx="92">
                  <c:v>7.952667521740553</c:v>
                </c:pt>
                <c:pt idx="93">
                  <c:v>7.963084390136956</c:v>
                </c:pt>
                <c:pt idx="94">
                  <c:v>7.973404269266909</c:v>
                </c:pt>
                <c:pt idx="95">
                  <c:v>7.983628907426689</c:v>
                </c:pt>
                <c:pt idx="96">
                  <c:v>7.9937600076107</c:v>
                </c:pt>
                <c:pt idx="97">
                  <c:v>8.003799229195657</c:v>
                </c:pt>
                <c:pt idx="98">
                  <c:v>8.013748189540099</c:v>
                </c:pt>
              </c:numCache>
            </c:numRef>
          </c:xVal>
          <c:yVal>
            <c:numRef>
              <c:f>'T-s diagr. data'!$A$8:$A$758</c:f>
              <c:numCache>
                <c:ptCount val="751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225</c:v>
                </c:pt>
                <c:pt idx="8">
                  <c:v>250</c:v>
                </c:pt>
                <c:pt idx="9">
                  <c:v>275</c:v>
                </c:pt>
                <c:pt idx="10">
                  <c:v>300</c:v>
                </c:pt>
                <c:pt idx="11">
                  <c:v>325</c:v>
                </c:pt>
                <c:pt idx="12">
                  <c:v>350</c:v>
                </c:pt>
                <c:pt idx="13">
                  <c:v>375</c:v>
                </c:pt>
                <c:pt idx="14">
                  <c:v>400</c:v>
                </c:pt>
                <c:pt idx="15">
                  <c:v>425</c:v>
                </c:pt>
                <c:pt idx="16">
                  <c:v>450</c:v>
                </c:pt>
                <c:pt idx="17">
                  <c:v>475</c:v>
                </c:pt>
                <c:pt idx="18">
                  <c:v>500</c:v>
                </c:pt>
                <c:pt idx="19">
                  <c:v>525</c:v>
                </c:pt>
                <c:pt idx="20">
                  <c:v>550</c:v>
                </c:pt>
                <c:pt idx="21">
                  <c:v>575</c:v>
                </c:pt>
                <c:pt idx="22">
                  <c:v>600</c:v>
                </c:pt>
                <c:pt idx="23">
                  <c:v>625</c:v>
                </c:pt>
                <c:pt idx="24">
                  <c:v>650</c:v>
                </c:pt>
                <c:pt idx="25">
                  <c:v>675</c:v>
                </c:pt>
                <c:pt idx="26">
                  <c:v>700</c:v>
                </c:pt>
                <c:pt idx="27">
                  <c:v>725</c:v>
                </c:pt>
                <c:pt idx="28">
                  <c:v>750</c:v>
                </c:pt>
                <c:pt idx="29">
                  <c:v>775</c:v>
                </c:pt>
                <c:pt idx="30">
                  <c:v>800</c:v>
                </c:pt>
                <c:pt idx="31">
                  <c:v>825</c:v>
                </c:pt>
                <c:pt idx="32">
                  <c:v>850</c:v>
                </c:pt>
                <c:pt idx="33">
                  <c:v>875</c:v>
                </c:pt>
                <c:pt idx="34">
                  <c:v>900</c:v>
                </c:pt>
                <c:pt idx="35">
                  <c:v>925</c:v>
                </c:pt>
                <c:pt idx="36">
                  <c:v>950</c:v>
                </c:pt>
                <c:pt idx="37">
                  <c:v>975</c:v>
                </c:pt>
                <c:pt idx="38">
                  <c:v>1000</c:v>
                </c:pt>
                <c:pt idx="39">
                  <c:v>1025</c:v>
                </c:pt>
                <c:pt idx="40">
                  <c:v>1050</c:v>
                </c:pt>
                <c:pt idx="41">
                  <c:v>1075</c:v>
                </c:pt>
                <c:pt idx="42">
                  <c:v>1100</c:v>
                </c:pt>
                <c:pt idx="43">
                  <c:v>1125</c:v>
                </c:pt>
                <c:pt idx="44">
                  <c:v>1150</c:v>
                </c:pt>
                <c:pt idx="45">
                  <c:v>1175</c:v>
                </c:pt>
                <c:pt idx="46">
                  <c:v>1200</c:v>
                </c:pt>
                <c:pt idx="47">
                  <c:v>1225</c:v>
                </c:pt>
                <c:pt idx="48">
                  <c:v>1250</c:v>
                </c:pt>
                <c:pt idx="49">
                  <c:v>1275</c:v>
                </c:pt>
                <c:pt idx="50">
                  <c:v>1300</c:v>
                </c:pt>
                <c:pt idx="51">
                  <c:v>1325</c:v>
                </c:pt>
                <c:pt idx="52">
                  <c:v>1350</c:v>
                </c:pt>
                <c:pt idx="53">
                  <c:v>1375</c:v>
                </c:pt>
                <c:pt idx="54">
                  <c:v>1400</c:v>
                </c:pt>
                <c:pt idx="55">
                  <c:v>1425</c:v>
                </c:pt>
                <c:pt idx="56">
                  <c:v>1450</c:v>
                </c:pt>
                <c:pt idx="57">
                  <c:v>1475</c:v>
                </c:pt>
                <c:pt idx="58">
                  <c:v>1500</c:v>
                </c:pt>
                <c:pt idx="59">
                  <c:v>1525</c:v>
                </c:pt>
                <c:pt idx="60">
                  <c:v>1550</c:v>
                </c:pt>
                <c:pt idx="61">
                  <c:v>1575</c:v>
                </c:pt>
                <c:pt idx="62">
                  <c:v>1600</c:v>
                </c:pt>
                <c:pt idx="63">
                  <c:v>1625</c:v>
                </c:pt>
                <c:pt idx="64">
                  <c:v>1650</c:v>
                </c:pt>
                <c:pt idx="65">
                  <c:v>1675</c:v>
                </c:pt>
                <c:pt idx="66">
                  <c:v>1700</c:v>
                </c:pt>
                <c:pt idx="67">
                  <c:v>1725</c:v>
                </c:pt>
                <c:pt idx="68">
                  <c:v>1750</c:v>
                </c:pt>
                <c:pt idx="69">
                  <c:v>1775</c:v>
                </c:pt>
                <c:pt idx="70">
                  <c:v>1800</c:v>
                </c:pt>
                <c:pt idx="71">
                  <c:v>1825</c:v>
                </c:pt>
                <c:pt idx="72">
                  <c:v>1850</c:v>
                </c:pt>
                <c:pt idx="73">
                  <c:v>1875</c:v>
                </c:pt>
                <c:pt idx="74">
                  <c:v>1900</c:v>
                </c:pt>
                <c:pt idx="75">
                  <c:v>1925</c:v>
                </c:pt>
                <c:pt idx="76">
                  <c:v>1950</c:v>
                </c:pt>
                <c:pt idx="77">
                  <c:v>1975</c:v>
                </c:pt>
                <c:pt idx="78">
                  <c:v>2000</c:v>
                </c:pt>
                <c:pt idx="79">
                  <c:v>2025</c:v>
                </c:pt>
                <c:pt idx="80">
                  <c:v>2050</c:v>
                </c:pt>
                <c:pt idx="81">
                  <c:v>2075</c:v>
                </c:pt>
                <c:pt idx="82">
                  <c:v>2100</c:v>
                </c:pt>
                <c:pt idx="83">
                  <c:v>2125</c:v>
                </c:pt>
                <c:pt idx="84">
                  <c:v>2150</c:v>
                </c:pt>
                <c:pt idx="85">
                  <c:v>2175</c:v>
                </c:pt>
                <c:pt idx="86">
                  <c:v>2200</c:v>
                </c:pt>
                <c:pt idx="87">
                  <c:v>2225</c:v>
                </c:pt>
                <c:pt idx="88">
                  <c:v>2250</c:v>
                </c:pt>
                <c:pt idx="89">
                  <c:v>2275</c:v>
                </c:pt>
                <c:pt idx="90">
                  <c:v>2300</c:v>
                </c:pt>
                <c:pt idx="91">
                  <c:v>2325</c:v>
                </c:pt>
                <c:pt idx="92">
                  <c:v>2350</c:v>
                </c:pt>
                <c:pt idx="93">
                  <c:v>2375</c:v>
                </c:pt>
                <c:pt idx="94">
                  <c:v>2400</c:v>
                </c:pt>
                <c:pt idx="95">
                  <c:v>2425</c:v>
                </c:pt>
                <c:pt idx="96">
                  <c:v>2450</c:v>
                </c:pt>
                <c:pt idx="97">
                  <c:v>2475</c:v>
                </c:pt>
                <c:pt idx="98">
                  <c:v>2500</c:v>
                </c:pt>
              </c:numCache>
            </c:numRef>
          </c:yVal>
          <c:smooth val="0"/>
        </c:ser>
        <c:ser>
          <c:idx val="1"/>
          <c:order val="2"/>
          <c:tx>
            <c:v>Isochore v2 = v5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 diagr. data'!$C$8:$C$758</c:f>
              <c:numCache>
                <c:ptCount val="751"/>
                <c:pt idx="0">
                  <c:v>5.553548464666703</c:v>
                </c:pt>
                <c:pt idx="1">
                  <c:v>5.854075900690177</c:v>
                </c:pt>
                <c:pt idx="2">
                  <c:v>6.065471113606653</c:v>
                </c:pt>
                <c:pt idx="3">
                  <c:v>6.2282545842280035</c:v>
                </c:pt>
                <c:pt idx="4">
                  <c:v>6.36046624529181</c:v>
                </c:pt>
                <c:pt idx="5">
                  <c:v>6.471721716084526</c:v>
                </c:pt>
                <c:pt idx="6">
                  <c:v>6.567754345438833</c:v>
                </c:pt>
                <c:pt idx="7">
                  <c:v>6.652256784359394</c:v>
                </c:pt>
                <c:pt idx="8">
                  <c:v>6.7277455340354715</c:v>
                </c:pt>
                <c:pt idx="9">
                  <c:v>6.796011231018855</c:v>
                </c:pt>
                <c:pt idx="10">
                  <c:v>6.858372173576991</c:v>
                </c:pt>
                <c:pt idx="11">
                  <c:v>6.915826019177169</c:v>
                </c:pt>
                <c:pt idx="12">
                  <c:v>6.969145103689311</c:v>
                </c:pt>
                <c:pt idx="13">
                  <c:v>7.018938795420872</c:v>
                </c:pt>
                <c:pt idx="14">
                  <c:v>7.06569568412638</c:v>
                </c:pt>
                <c:pt idx="15">
                  <c:v>7.109812957362856</c:v>
                </c:pt>
                <c:pt idx="16">
                  <c:v>7.151617367395923</c:v>
                </c:pt>
                <c:pt idx="17">
                  <c:v>7.191380521687925</c:v>
                </c:pt>
                <c:pt idx="18">
                  <c:v>7.229330246772055</c:v>
                </c:pt>
                <c:pt idx="19">
                  <c:v>7.265659176658801</c:v>
                </c:pt>
                <c:pt idx="20">
                  <c:v>7.300531341473216</c:v>
                </c:pt>
                <c:pt idx="21">
                  <c:v>7.334087290311359</c:v>
                </c:pt>
                <c:pt idx="22">
                  <c:v>7.366448123015294</c:v>
                </c:pt>
                <c:pt idx="23">
                  <c:v>7.397718698368825</c:v>
                </c:pt>
                <c:pt idx="24">
                  <c:v>7.4279902126958195</c:v>
                </c:pt>
                <c:pt idx="25">
                  <c:v>7.457342291546081</c:v>
                </c:pt>
                <c:pt idx="26">
                  <c:v>7.4858447007967355</c:v>
                </c:pt>
                <c:pt idx="27">
                  <c:v>7.5135587573569325</c:v>
                </c:pt>
                <c:pt idx="28">
                  <c:v>7.540538500619329</c:v>
                </c:pt>
                <c:pt idx="29">
                  <c:v>7.566831671757467</c:v>
                </c:pt>
                <c:pt idx="30">
                  <c:v>7.592480537493748</c:v>
                </c:pt>
                <c:pt idx="31">
                  <c:v>7.617522587068646</c:v>
                </c:pt>
                <c:pt idx="32">
                  <c:v>7.641991125134428</c:v>
                </c:pt>
                <c:pt idx="33">
                  <c:v>7.66591577868322</c:v>
                </c:pt>
                <c:pt idx="34">
                  <c:v>7.689322932546192</c:v>
                </c:pt>
                <c:pt idx="35">
                  <c:v>7.71223610521122</c:v>
                </c:pt>
                <c:pt idx="36">
                  <c:v>7.734676274512392</c:v>
                </c:pt>
                <c:pt idx="37">
                  <c:v>7.7566621610068776</c:v>
                </c:pt>
                <c:pt idx="38">
                  <c:v>7.778210475469016</c:v>
                </c:pt>
                <c:pt idx="39">
                  <c:v>7.7993357250184125</c:v>
                </c:pt>
                <c:pt idx="40">
                  <c:v>7.820051654494223</c:v>
                </c:pt>
                <c:pt idx="41">
                  <c:v>7.840376141145889</c:v>
                </c:pt>
                <c:pt idx="42">
                  <c:v>7.860325090407326</c:v>
                </c:pt>
                <c:pt idx="43">
                  <c:v>7.879913372116114</c:v>
                </c:pt>
                <c:pt idx="44">
                  <c:v>7.899154911237247</c:v>
                </c:pt>
                <c:pt idx="45">
                  <c:v>7.9180627688292855</c:v>
                </c:pt>
                <c:pt idx="46">
                  <c:v>7.936649214485729</c:v>
                </c:pt>
                <c:pt idx="47">
                  <c:v>7.954925791306547</c:v>
                </c:pt>
                <c:pt idx="48">
                  <c:v>7.972903374305508</c:v>
                </c:pt>
                <c:pt idx="49">
                  <c:v>7.990592223033423</c:v>
                </c:pt>
                <c:pt idx="50">
                  <c:v>8.0080020290913</c:v>
                </c:pt>
                <c:pt idx="51">
                  <c:v>8.025141959117587</c:v>
                </c:pt>
                <c:pt idx="52">
                  <c:v>8.0420206937572</c:v>
                </c:pt>
                <c:pt idx="53">
                  <c:v>8.058646463054728</c:v>
                </c:pt>
                <c:pt idx="54">
                  <c:v>8.07502707865857</c:v>
                </c:pt>
                <c:pt idx="55">
                  <c:v>8.091169963174645</c:v>
                </c:pt>
                <c:pt idx="56">
                  <c:v>8.107082176967227</c:v>
                </c:pt>
                <c:pt idx="57">
                  <c:v>8.122770442668733</c:v>
                </c:pt>
                <c:pt idx="58">
                  <c:v>8.138241167629598</c:v>
                </c:pt>
                <c:pt idx="59">
                  <c:v>8.153500464512481</c:v>
                </c:pt>
                <c:pt idx="60">
                  <c:v>8.168554170211952</c:v>
                </c:pt>
                <c:pt idx="61">
                  <c:v>8.183407863260374</c:v>
                </c:pt>
                <c:pt idx="62">
                  <c:v>8.198066879863092</c:v>
                </c:pt>
                <c:pt idx="63">
                  <c:v>8.212536328690394</c:v>
                </c:pt>
                <c:pt idx="64">
                  <c:v>8.226821104540225</c:v>
                </c:pt>
                <c:pt idx="65">
                  <c:v>8.240925900973455</c:v>
                </c:pt>
                <c:pt idx="66">
                  <c:v>8.25485522201314</c:v>
                </c:pt>
                <c:pt idx="67">
                  <c:v>8.2686133929897</c:v>
                </c:pt>
                <c:pt idx="68">
                  <c:v>8.2822045706058</c:v>
                </c:pt>
                <c:pt idx="69">
                  <c:v>8.295632752287323</c:v>
                </c:pt>
                <c:pt idx="70">
                  <c:v>8.30890178488037</c:v>
                </c:pt>
                <c:pt idx="71">
                  <c:v>8.322015372748405</c:v>
                </c:pt>
                <c:pt idx="72">
                  <c:v>8.33497708531853</c:v>
                </c:pt>
                <c:pt idx="73">
                  <c:v>8.347790364121234</c:v>
                </c:pt>
                <c:pt idx="74">
                  <c:v>8.3604585293639</c:v>
                </c:pt>
                <c:pt idx="75">
                  <c:v>8.37298478607464</c:v>
                </c:pt>
                <c:pt idx="76">
                  <c:v>8.385372229849716</c:v>
                </c:pt>
                <c:pt idx="77">
                  <c:v>8.397623852234833</c:v>
                </c:pt>
                <c:pt idx="78">
                  <c:v>8.409742545767994</c:v>
                </c:pt>
                <c:pt idx="79">
                  <c:v>8.421731108709084</c:v>
                </c:pt>
                <c:pt idx="80">
                  <c:v>8.433592249479265</c:v>
                </c:pt>
                <c:pt idx="81">
                  <c:v>8.445328590831336</c:v>
                </c:pt>
                <c:pt idx="82">
                  <c:v>8.456942673770303</c:v>
                </c:pt>
                <c:pt idx="83">
                  <c:v>8.468436961241984</c:v>
                </c:pt>
                <c:pt idx="84">
                  <c:v>8.479813841605875</c:v>
                </c:pt>
                <c:pt idx="85">
                  <c:v>8.491075631907252</c:v>
                </c:pt>
                <c:pt idx="86">
                  <c:v>8.502224580962297</c:v>
                </c:pt>
                <c:pt idx="87">
                  <c:v>8.513262872268902</c:v>
                </c:pt>
                <c:pt idx="88">
                  <c:v>8.524192626754864</c:v>
                </c:pt>
                <c:pt idx="89">
                  <c:v>8.53501590537421</c:v>
                </c:pt>
                <c:pt idx="90">
                  <c:v>8.54573471156165</c:v>
                </c:pt>
                <c:pt idx="91">
                  <c:v>8.556350993554366</c:v>
                </c:pt>
                <c:pt idx="92">
                  <c:v>8.566866646589602</c:v>
                </c:pt>
                <c:pt idx="93">
                  <c:v>8.577283514986005</c:v>
                </c:pt>
                <c:pt idx="94">
                  <c:v>8.587603394115959</c:v>
                </c:pt>
                <c:pt idx="95">
                  <c:v>8.59782803227574</c:v>
                </c:pt>
                <c:pt idx="96">
                  <c:v>8.60795913245975</c:v>
                </c:pt>
                <c:pt idx="97">
                  <c:v>8.617998354044706</c:v>
                </c:pt>
                <c:pt idx="98">
                  <c:v>8.62794731438915</c:v>
                </c:pt>
              </c:numCache>
            </c:numRef>
          </c:xVal>
          <c:yVal>
            <c:numRef>
              <c:f>'T-s diagr. data'!$A$8:$A$758</c:f>
              <c:numCache>
                <c:ptCount val="751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225</c:v>
                </c:pt>
                <c:pt idx="8">
                  <c:v>250</c:v>
                </c:pt>
                <c:pt idx="9">
                  <c:v>275</c:v>
                </c:pt>
                <c:pt idx="10">
                  <c:v>300</c:v>
                </c:pt>
                <c:pt idx="11">
                  <c:v>325</c:v>
                </c:pt>
                <c:pt idx="12">
                  <c:v>350</c:v>
                </c:pt>
                <c:pt idx="13">
                  <c:v>375</c:v>
                </c:pt>
                <c:pt idx="14">
                  <c:v>400</c:v>
                </c:pt>
                <c:pt idx="15">
                  <c:v>425</c:v>
                </c:pt>
                <c:pt idx="16">
                  <c:v>450</c:v>
                </c:pt>
                <c:pt idx="17">
                  <c:v>475</c:v>
                </c:pt>
                <c:pt idx="18">
                  <c:v>500</c:v>
                </c:pt>
                <c:pt idx="19">
                  <c:v>525</c:v>
                </c:pt>
                <c:pt idx="20">
                  <c:v>550</c:v>
                </c:pt>
                <c:pt idx="21">
                  <c:v>575</c:v>
                </c:pt>
                <c:pt idx="22">
                  <c:v>600</c:v>
                </c:pt>
                <c:pt idx="23">
                  <c:v>625</c:v>
                </c:pt>
                <c:pt idx="24">
                  <c:v>650</c:v>
                </c:pt>
                <c:pt idx="25">
                  <c:v>675</c:v>
                </c:pt>
                <c:pt idx="26">
                  <c:v>700</c:v>
                </c:pt>
                <c:pt idx="27">
                  <c:v>725</c:v>
                </c:pt>
                <c:pt idx="28">
                  <c:v>750</c:v>
                </c:pt>
                <c:pt idx="29">
                  <c:v>775</c:v>
                </c:pt>
                <c:pt idx="30">
                  <c:v>800</c:v>
                </c:pt>
                <c:pt idx="31">
                  <c:v>825</c:v>
                </c:pt>
                <c:pt idx="32">
                  <c:v>850</c:v>
                </c:pt>
                <c:pt idx="33">
                  <c:v>875</c:v>
                </c:pt>
                <c:pt idx="34">
                  <c:v>900</c:v>
                </c:pt>
                <c:pt idx="35">
                  <c:v>925</c:v>
                </c:pt>
                <c:pt idx="36">
                  <c:v>950</c:v>
                </c:pt>
                <c:pt idx="37">
                  <c:v>975</c:v>
                </c:pt>
                <c:pt idx="38">
                  <c:v>1000</c:v>
                </c:pt>
                <c:pt idx="39">
                  <c:v>1025</c:v>
                </c:pt>
                <c:pt idx="40">
                  <c:v>1050</c:v>
                </c:pt>
                <c:pt idx="41">
                  <c:v>1075</c:v>
                </c:pt>
                <c:pt idx="42">
                  <c:v>1100</c:v>
                </c:pt>
                <c:pt idx="43">
                  <c:v>1125</c:v>
                </c:pt>
                <c:pt idx="44">
                  <c:v>1150</c:v>
                </c:pt>
                <c:pt idx="45">
                  <c:v>1175</c:v>
                </c:pt>
                <c:pt idx="46">
                  <c:v>1200</c:v>
                </c:pt>
                <c:pt idx="47">
                  <c:v>1225</c:v>
                </c:pt>
                <c:pt idx="48">
                  <c:v>1250</c:v>
                </c:pt>
                <c:pt idx="49">
                  <c:v>1275</c:v>
                </c:pt>
                <c:pt idx="50">
                  <c:v>1300</c:v>
                </c:pt>
                <c:pt idx="51">
                  <c:v>1325</c:v>
                </c:pt>
                <c:pt idx="52">
                  <c:v>1350</c:v>
                </c:pt>
                <c:pt idx="53">
                  <c:v>1375</c:v>
                </c:pt>
                <c:pt idx="54">
                  <c:v>1400</c:v>
                </c:pt>
                <c:pt idx="55">
                  <c:v>1425</c:v>
                </c:pt>
                <c:pt idx="56">
                  <c:v>1450</c:v>
                </c:pt>
                <c:pt idx="57">
                  <c:v>1475</c:v>
                </c:pt>
                <c:pt idx="58">
                  <c:v>1500</c:v>
                </c:pt>
                <c:pt idx="59">
                  <c:v>1525</c:v>
                </c:pt>
                <c:pt idx="60">
                  <c:v>1550</c:v>
                </c:pt>
                <c:pt idx="61">
                  <c:v>1575</c:v>
                </c:pt>
                <c:pt idx="62">
                  <c:v>1600</c:v>
                </c:pt>
                <c:pt idx="63">
                  <c:v>1625</c:v>
                </c:pt>
                <c:pt idx="64">
                  <c:v>1650</c:v>
                </c:pt>
                <c:pt idx="65">
                  <c:v>1675</c:v>
                </c:pt>
                <c:pt idx="66">
                  <c:v>1700</c:v>
                </c:pt>
                <c:pt idx="67">
                  <c:v>1725</c:v>
                </c:pt>
                <c:pt idx="68">
                  <c:v>1750</c:v>
                </c:pt>
                <c:pt idx="69">
                  <c:v>1775</c:v>
                </c:pt>
                <c:pt idx="70">
                  <c:v>1800</c:v>
                </c:pt>
                <c:pt idx="71">
                  <c:v>1825</c:v>
                </c:pt>
                <c:pt idx="72">
                  <c:v>1850</c:v>
                </c:pt>
                <c:pt idx="73">
                  <c:v>1875</c:v>
                </c:pt>
                <c:pt idx="74">
                  <c:v>1900</c:v>
                </c:pt>
                <c:pt idx="75">
                  <c:v>1925</c:v>
                </c:pt>
                <c:pt idx="76">
                  <c:v>1950</c:v>
                </c:pt>
                <c:pt idx="77">
                  <c:v>1975</c:v>
                </c:pt>
                <c:pt idx="78">
                  <c:v>2000</c:v>
                </c:pt>
                <c:pt idx="79">
                  <c:v>2025</c:v>
                </c:pt>
                <c:pt idx="80">
                  <c:v>2050</c:v>
                </c:pt>
                <c:pt idx="81">
                  <c:v>2075</c:v>
                </c:pt>
                <c:pt idx="82">
                  <c:v>2100</c:v>
                </c:pt>
                <c:pt idx="83">
                  <c:v>2125</c:v>
                </c:pt>
                <c:pt idx="84">
                  <c:v>2150</c:v>
                </c:pt>
                <c:pt idx="85">
                  <c:v>2175</c:v>
                </c:pt>
                <c:pt idx="86">
                  <c:v>2200</c:v>
                </c:pt>
                <c:pt idx="87">
                  <c:v>2225</c:v>
                </c:pt>
                <c:pt idx="88">
                  <c:v>2250</c:v>
                </c:pt>
                <c:pt idx="89">
                  <c:v>2275</c:v>
                </c:pt>
                <c:pt idx="90">
                  <c:v>2300</c:v>
                </c:pt>
                <c:pt idx="91">
                  <c:v>2325</c:v>
                </c:pt>
                <c:pt idx="92">
                  <c:v>2350</c:v>
                </c:pt>
                <c:pt idx="93">
                  <c:v>2375</c:v>
                </c:pt>
                <c:pt idx="94">
                  <c:v>2400</c:v>
                </c:pt>
                <c:pt idx="95">
                  <c:v>2425</c:v>
                </c:pt>
                <c:pt idx="96">
                  <c:v>2450</c:v>
                </c:pt>
                <c:pt idx="97">
                  <c:v>2475</c:v>
                </c:pt>
                <c:pt idx="98">
                  <c:v>2500</c:v>
                </c:pt>
              </c:numCache>
            </c:numRef>
          </c:yVal>
          <c:smooth val="0"/>
        </c:ser>
        <c:ser>
          <c:idx val="6"/>
          <c:order val="3"/>
          <c:tx>
            <c:v>Isentropic compression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('simple Otto Cycle'!$D$30,'simple Otto Cycle'!$D$31)</c:f>
              <c:numCache/>
            </c:numRef>
          </c:xVal>
          <c:yVal>
            <c:numRef>
              <c:f>('simple Otto Cycle'!$C$30,'simple Otto Cycle'!$C$31)</c:f>
              <c:numCache/>
            </c:numRef>
          </c:yVal>
          <c:smooth val="0"/>
        </c:ser>
        <c:ser>
          <c:idx val="12"/>
          <c:order val="4"/>
          <c:tx>
            <c:v>Isochoric heating 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 diagr. data'!$J$8:$J$108</c:f>
              <c:numCache>
                <c:ptCount val="101"/>
                <c:pt idx="0">
                  <c:v>6.8418107413291445</c:v>
                </c:pt>
                <c:pt idx="1">
                  <c:v>6.851348068125042</c:v>
                </c:pt>
                <c:pt idx="2">
                  <c:v>6.86088539492094</c:v>
                </c:pt>
                <c:pt idx="3">
                  <c:v>6.870422721716838</c:v>
                </c:pt>
                <c:pt idx="4">
                  <c:v>6.879960048512736</c:v>
                </c:pt>
                <c:pt idx="5">
                  <c:v>6.8894973753086335</c:v>
                </c:pt>
                <c:pt idx="6">
                  <c:v>6.899034702104531</c:v>
                </c:pt>
                <c:pt idx="7">
                  <c:v>6.908572028900429</c:v>
                </c:pt>
                <c:pt idx="8">
                  <c:v>6.918109355696327</c:v>
                </c:pt>
                <c:pt idx="9">
                  <c:v>6.927646682492225</c:v>
                </c:pt>
                <c:pt idx="10">
                  <c:v>6.9371840092881225</c:v>
                </c:pt>
                <c:pt idx="11">
                  <c:v>6.94672133608402</c:v>
                </c:pt>
                <c:pt idx="12">
                  <c:v>6.956258662879918</c:v>
                </c:pt>
                <c:pt idx="13">
                  <c:v>6.965795989675816</c:v>
                </c:pt>
                <c:pt idx="14">
                  <c:v>6.975333316471714</c:v>
                </c:pt>
                <c:pt idx="15">
                  <c:v>6.9848706432676115</c:v>
                </c:pt>
                <c:pt idx="16">
                  <c:v>6.994407970063509</c:v>
                </c:pt>
                <c:pt idx="17">
                  <c:v>7.003945296859407</c:v>
                </c:pt>
                <c:pt idx="18">
                  <c:v>7.013482623655305</c:v>
                </c:pt>
                <c:pt idx="19">
                  <c:v>7.023019950451203</c:v>
                </c:pt>
                <c:pt idx="20">
                  <c:v>7.032557277247101</c:v>
                </c:pt>
                <c:pt idx="21">
                  <c:v>7.042094604042998</c:v>
                </c:pt>
                <c:pt idx="22">
                  <c:v>7.051631930838896</c:v>
                </c:pt>
                <c:pt idx="23">
                  <c:v>7.061169257634794</c:v>
                </c:pt>
                <c:pt idx="24">
                  <c:v>7.070706584430692</c:v>
                </c:pt>
                <c:pt idx="25">
                  <c:v>7.08024391122659</c:v>
                </c:pt>
                <c:pt idx="26">
                  <c:v>7.089781238022487</c:v>
                </c:pt>
                <c:pt idx="27">
                  <c:v>7.099318564818385</c:v>
                </c:pt>
                <c:pt idx="28">
                  <c:v>7.108855891614283</c:v>
                </c:pt>
                <c:pt idx="29">
                  <c:v>7.118393218410181</c:v>
                </c:pt>
                <c:pt idx="30">
                  <c:v>7.127930545206079</c:v>
                </c:pt>
                <c:pt idx="31">
                  <c:v>7.137467872001976</c:v>
                </c:pt>
                <c:pt idx="32">
                  <c:v>7.147005198797874</c:v>
                </c:pt>
                <c:pt idx="33">
                  <c:v>7.156542525593772</c:v>
                </c:pt>
                <c:pt idx="34">
                  <c:v>7.16607985238967</c:v>
                </c:pt>
                <c:pt idx="35">
                  <c:v>7.175617179185568</c:v>
                </c:pt>
                <c:pt idx="36">
                  <c:v>7.185154505981465</c:v>
                </c:pt>
                <c:pt idx="37">
                  <c:v>7.194691832777363</c:v>
                </c:pt>
                <c:pt idx="38">
                  <c:v>7.204229159573261</c:v>
                </c:pt>
                <c:pt idx="39">
                  <c:v>7.213766486369159</c:v>
                </c:pt>
                <c:pt idx="40">
                  <c:v>7.223303813165057</c:v>
                </c:pt>
                <c:pt idx="41">
                  <c:v>7.2328411399609545</c:v>
                </c:pt>
                <c:pt idx="42">
                  <c:v>7.242378466756852</c:v>
                </c:pt>
                <c:pt idx="43">
                  <c:v>7.25191579355275</c:v>
                </c:pt>
                <c:pt idx="44">
                  <c:v>7.261453120348648</c:v>
                </c:pt>
                <c:pt idx="45">
                  <c:v>7.270990447144546</c:v>
                </c:pt>
                <c:pt idx="46">
                  <c:v>7.2805277739404435</c:v>
                </c:pt>
                <c:pt idx="47">
                  <c:v>7.290065100736341</c:v>
                </c:pt>
                <c:pt idx="48">
                  <c:v>7.299602427532239</c:v>
                </c:pt>
                <c:pt idx="49">
                  <c:v>7.309139754328137</c:v>
                </c:pt>
                <c:pt idx="50">
                  <c:v>7.318677081124035</c:v>
                </c:pt>
                <c:pt idx="51">
                  <c:v>7.3282144079199325</c:v>
                </c:pt>
                <c:pt idx="52">
                  <c:v>7.33775173471583</c:v>
                </c:pt>
                <c:pt idx="53">
                  <c:v>7.347289061511728</c:v>
                </c:pt>
                <c:pt idx="54">
                  <c:v>7.356826388307626</c:v>
                </c:pt>
                <c:pt idx="55">
                  <c:v>7.366363715103524</c:v>
                </c:pt>
                <c:pt idx="56">
                  <c:v>7.3759010418994215</c:v>
                </c:pt>
                <c:pt idx="57">
                  <c:v>7.385438368695319</c:v>
                </c:pt>
                <c:pt idx="58">
                  <c:v>7.394975695491217</c:v>
                </c:pt>
                <c:pt idx="59">
                  <c:v>7.404513022287115</c:v>
                </c:pt>
                <c:pt idx="60">
                  <c:v>7.414050349083013</c:v>
                </c:pt>
                <c:pt idx="61">
                  <c:v>7.4235876758789106</c:v>
                </c:pt>
                <c:pt idx="62">
                  <c:v>7.433125002674808</c:v>
                </c:pt>
                <c:pt idx="63">
                  <c:v>7.442662329470706</c:v>
                </c:pt>
                <c:pt idx="64">
                  <c:v>7.452199656266604</c:v>
                </c:pt>
                <c:pt idx="65">
                  <c:v>7.461736983062502</c:v>
                </c:pt>
                <c:pt idx="66">
                  <c:v>7.4712743098584</c:v>
                </c:pt>
                <c:pt idx="67">
                  <c:v>7.480811636654297</c:v>
                </c:pt>
                <c:pt idx="68">
                  <c:v>7.490348963450195</c:v>
                </c:pt>
                <c:pt idx="69">
                  <c:v>7.499886290246093</c:v>
                </c:pt>
                <c:pt idx="70">
                  <c:v>7.509423617041991</c:v>
                </c:pt>
                <c:pt idx="71">
                  <c:v>7.518960943837889</c:v>
                </c:pt>
                <c:pt idx="72">
                  <c:v>7.528498270633786</c:v>
                </c:pt>
                <c:pt idx="73">
                  <c:v>7.538035597429684</c:v>
                </c:pt>
                <c:pt idx="74">
                  <c:v>7.547572924225582</c:v>
                </c:pt>
                <c:pt idx="75">
                  <c:v>7.55711025102148</c:v>
                </c:pt>
                <c:pt idx="76">
                  <c:v>7.566647577817378</c:v>
                </c:pt>
                <c:pt idx="77">
                  <c:v>7.576184904613275</c:v>
                </c:pt>
                <c:pt idx="78">
                  <c:v>7.585722231409173</c:v>
                </c:pt>
                <c:pt idx="79">
                  <c:v>7.595259558205071</c:v>
                </c:pt>
                <c:pt idx="80">
                  <c:v>7.604796885000969</c:v>
                </c:pt>
                <c:pt idx="81">
                  <c:v>7.614334211796867</c:v>
                </c:pt>
                <c:pt idx="82">
                  <c:v>7.6238715385927645</c:v>
                </c:pt>
                <c:pt idx="83">
                  <c:v>7.633408865388662</c:v>
                </c:pt>
                <c:pt idx="84">
                  <c:v>7.64294619218456</c:v>
                </c:pt>
                <c:pt idx="85">
                  <c:v>7.652483518980458</c:v>
                </c:pt>
                <c:pt idx="86">
                  <c:v>7.662020845776356</c:v>
                </c:pt>
                <c:pt idx="87">
                  <c:v>7.6715581725722535</c:v>
                </c:pt>
                <c:pt idx="88">
                  <c:v>7.681095499368151</c:v>
                </c:pt>
                <c:pt idx="89">
                  <c:v>7.690632826164049</c:v>
                </c:pt>
                <c:pt idx="90">
                  <c:v>7.700170152959947</c:v>
                </c:pt>
                <c:pt idx="91">
                  <c:v>7.709707479755845</c:v>
                </c:pt>
                <c:pt idx="92">
                  <c:v>7.7192448065517425</c:v>
                </c:pt>
                <c:pt idx="93">
                  <c:v>7.72878213334764</c:v>
                </c:pt>
                <c:pt idx="94">
                  <c:v>7.738319460143538</c:v>
                </c:pt>
                <c:pt idx="95">
                  <c:v>7.747856786939436</c:v>
                </c:pt>
                <c:pt idx="96">
                  <c:v>7.757394113735334</c:v>
                </c:pt>
                <c:pt idx="97">
                  <c:v>7.7669314405312315</c:v>
                </c:pt>
                <c:pt idx="98">
                  <c:v>7.776468767327129</c:v>
                </c:pt>
                <c:pt idx="99">
                  <c:v>7.786006094123027</c:v>
                </c:pt>
                <c:pt idx="100">
                  <c:v>7.795543420918925</c:v>
                </c:pt>
              </c:numCache>
            </c:numRef>
          </c:xVal>
          <c:yVal>
            <c:numRef>
              <c:f>'T-s diagr. data'!$K$8:$K$108</c:f>
              <c:numCache>
                <c:ptCount val="101"/>
                <c:pt idx="0">
                  <c:v>673.8488142235359</c:v>
                </c:pt>
                <c:pt idx="1">
                  <c:v>682.1232279469459</c:v>
                </c:pt>
                <c:pt idx="2">
                  <c:v>690.477743992787</c:v>
                </c:pt>
                <c:pt idx="3">
                  <c:v>698.9126629572463</c:v>
                </c:pt>
                <c:pt idx="4">
                  <c:v>707.4282895361085</c:v>
                </c:pt>
                <c:pt idx="5">
                  <c:v>716.0249334739793</c:v>
                </c:pt>
                <c:pt idx="6">
                  <c:v>724.7029105530013</c:v>
                </c:pt>
                <c:pt idx="7">
                  <c:v>733.4625436213813</c:v>
                </c:pt>
                <c:pt idx="8">
                  <c:v>742.3041636621707</c:v>
                </c:pt>
                <c:pt idx="9">
                  <c:v>751.2281109027654</c:v>
                </c:pt>
                <c:pt idx="10">
                  <c:v>760.2347359657265</c:v>
                </c:pt>
                <c:pt idx="11">
                  <c:v>769.324401061615</c:v>
                </c:pt>
                <c:pt idx="12">
                  <c:v>778.4974812629522</c:v>
                </c:pt>
                <c:pt idx="13">
                  <c:v>787.7543657777575</c:v>
                </c:pt>
                <c:pt idx="14">
                  <c:v>797.095458518138</c:v>
                </c:pt>
                <c:pt idx="15">
                  <c:v>806.5211818574807</c:v>
                </c:pt>
                <c:pt idx="16">
                  <c:v>816.0319748817114</c:v>
                </c:pt>
                <c:pt idx="17">
                  <c:v>825.6282968569618</c:v>
                </c:pt>
                <c:pt idx="18">
                  <c:v>835.3106282481021</c:v>
                </c:pt>
                <c:pt idx="19">
                  <c:v>845.0794722903222</c:v>
                </c:pt>
                <c:pt idx="20">
                  <c:v>854.9353566161849</c:v>
                </c:pt>
                <c:pt idx="21">
                  <c:v>864.8788349408019</c:v>
                </c:pt>
                <c:pt idx="22">
                  <c:v>874.910488808199</c:v>
                </c:pt>
                <c:pt idx="23">
                  <c:v>885.0309294021694</c:v>
                </c:pt>
                <c:pt idx="24">
                  <c:v>895.2407994254071</c:v>
                </c:pt>
                <c:pt idx="25">
                  <c:v>905.5407750509993</c:v>
                </c:pt>
                <c:pt idx="26">
                  <c:v>915.9315679509172</c:v>
                </c:pt>
                <c:pt idx="27">
                  <c:v>926.4139274065524</c:v>
                </c:pt>
                <c:pt idx="28">
                  <c:v>936.9886425069011</c:v>
                </c:pt>
                <c:pt idx="29">
                  <c:v>947.6565444405882</c:v>
                </c:pt>
                <c:pt idx="30">
                  <c:v>958.4185088879609</c:v>
                </c:pt>
                <c:pt idx="31">
                  <c:v>969.275458391632</c:v>
                </c:pt>
                <c:pt idx="32">
                  <c:v>980.2283656335998</c:v>
                </c:pt>
                <c:pt idx="33">
                  <c:v>991.2782548523122</c:v>
                </c:pt>
                <c:pt idx="34">
                  <c:v>1002.4252479526579</c:v>
                </c:pt>
                <c:pt idx="35">
                  <c:v>1013.6729413965846</c:v>
                </c:pt>
                <c:pt idx="36">
                  <c:v>1025.0214009781853</c:v>
                </c:pt>
                <c:pt idx="37">
                  <c:v>1036.4713346598996</c:v>
                </c:pt>
                <c:pt idx="38">
                  <c:v>1048.0234576957077</c:v>
                </c:pt>
                <c:pt idx="39">
                  <c:v>1059.678492781749</c:v>
                </c:pt>
                <c:pt idx="40">
                  <c:v>1071.4371702082747</c:v>
                </c:pt>
                <c:pt idx="41">
                  <c:v>1083.3002280128944</c:v>
                </c:pt>
                <c:pt idx="42">
                  <c:v>1095.2684116350913</c:v>
                </c:pt>
                <c:pt idx="43">
                  <c:v>1107.3424760719872</c:v>
                </c:pt>
                <c:pt idx="44">
                  <c:v>1119.5231829834852</c:v>
                </c:pt>
                <c:pt idx="45">
                  <c:v>1131.8113028337443</c:v>
                </c:pt>
                <c:pt idx="46">
                  <c:v>1144.207614847719</c:v>
                </c:pt>
                <c:pt idx="47">
                  <c:v>1156.7129068237123</c:v>
                </c:pt>
                <c:pt idx="48">
                  <c:v>1169.3279754135078</c:v>
                </c:pt>
                <c:pt idx="49">
                  <c:v>1182.0536262850521</c:v>
                </c:pt>
                <c:pt idx="50">
                  <c:v>1194.8906742860756</c:v>
                </c:pt>
                <c:pt idx="51">
                  <c:v>1207.8399436086395</c:v>
                </c:pt>
                <c:pt idx="52">
                  <c:v>1220.9022679546224</c:v>
                </c:pt>
                <c:pt idx="53">
                  <c:v>1234.0784907019674</c:v>
                </c:pt>
                <c:pt idx="54">
                  <c:v>1247.3694650717343</c:v>
                </c:pt>
                <c:pt idx="55">
                  <c:v>1260.776054295852</c:v>
                </c:pt>
                <c:pt idx="56">
                  <c:v>1274.2991317855133</c:v>
                </c:pt>
                <c:pt idx="57">
                  <c:v>1287.9395813001447</c:v>
                </c:pt>
                <c:pt idx="58">
                  <c:v>1301.6982971168545</c:v>
                </c:pt>
                <c:pt idx="59">
                  <c:v>1315.5761842003512</c:v>
                </c:pt>
                <c:pt idx="60">
                  <c:v>1329.5741583731951</c:v>
                </c:pt>
                <c:pt idx="61">
                  <c:v>1343.6931464862646</c:v>
                </c:pt>
                <c:pt idx="62">
                  <c:v>1357.934086589461</c:v>
                </c:pt>
                <c:pt idx="63">
                  <c:v>1372.2979281024714</c:v>
                </c:pt>
                <c:pt idx="64">
                  <c:v>1386.785631985509</c:v>
                </c:pt>
                <c:pt idx="65">
                  <c:v>1401.3981709099467</c:v>
                </c:pt>
                <c:pt idx="66">
                  <c:v>1416.136529428722</c:v>
                </c:pt>
                <c:pt idx="67">
                  <c:v>1431.0017041464084</c:v>
                </c:pt>
                <c:pt idx="68">
                  <c:v>1445.9947038888345</c:v>
                </c:pt>
                <c:pt idx="69">
                  <c:v>1461.1165498720907</c:v>
                </c:pt>
                <c:pt idx="70">
                  <c:v>1476.3682758128675</c:v>
                </c:pt>
                <c:pt idx="71">
                  <c:v>1491.7509282130436</c:v>
                </c:pt>
                <c:pt idx="72">
                  <c:v>1507.2655670512531</c:v>
                </c:pt>
                <c:pt idx="73">
                  <c:v>1522.913263772049</c:v>
                </c:pt>
                <c:pt idx="74">
                  <c:v>1538.6951045434134</c:v>
                </c:pt>
                <c:pt idx="75">
                  <c:v>1554.612188418978</c:v>
                </c:pt>
                <c:pt idx="76">
                  <c:v>1570.6656279987533</c:v>
                </c:pt>
                <c:pt idx="77">
                  <c:v>1586.8565495880289</c:v>
                </c:pt>
                <c:pt idx="78">
                  <c:v>1603.1860933543348</c:v>
                </c:pt>
                <c:pt idx="79">
                  <c:v>1619.6554134822354</c:v>
                </c:pt>
                <c:pt idx="80">
                  <c:v>1636.2656783257248</c:v>
                </c:pt>
                <c:pt idx="81">
                  <c:v>1653.0180705580515</c:v>
                </c:pt>
                <c:pt idx="82">
                  <c:v>1669.9137873186887</c:v>
                </c:pt>
                <c:pt idx="83">
                  <c:v>1686.9540403572523</c:v>
                </c:pt>
                <c:pt idx="84">
                  <c:v>1704.1400561741398</c:v>
                </c:pt>
                <c:pt idx="85">
                  <c:v>1721.4730761575497</c:v>
                </c:pt>
                <c:pt idx="86">
                  <c:v>1738.9543567167457</c:v>
                </c:pt>
                <c:pt idx="87">
                  <c:v>1756.5851694111952</c:v>
                </c:pt>
                <c:pt idx="88">
                  <c:v>1774.3668010753454</c:v>
                </c:pt>
                <c:pt idx="89">
                  <c:v>1792.3005539387163</c:v>
                </c:pt>
                <c:pt idx="90">
                  <c:v>1810.3877457410917</c:v>
                </c:pt>
                <c:pt idx="91">
                  <c:v>1828.6297098423506</c:v>
                </c:pt>
                <c:pt idx="92">
                  <c:v>1847.0277953267696</c:v>
                </c:pt>
                <c:pt idx="93">
                  <c:v>1865.5833671013952</c:v>
                </c:pt>
                <c:pt idx="94">
                  <c:v>1884.2978059881339</c:v>
                </c:pt>
                <c:pt idx="95">
                  <c:v>1903.172508809244</c:v>
                </c:pt>
                <c:pt idx="96">
                  <c:v>1922.2088886014512</c:v>
                </c:pt>
                <c:pt idx="97">
                  <c:v>1941.4083737923838</c:v>
                </c:pt>
                <c:pt idx="98">
                  <c:v>1960.772410580329</c:v>
                </c:pt>
                <c:pt idx="99">
                  <c:v>1980.3024600171261</c:v>
                </c:pt>
                <c:pt idx="100">
                  <c:v>1999.9999999652987</c:v>
                </c:pt>
              </c:numCache>
            </c:numRef>
          </c:yVal>
          <c:smooth val="0"/>
        </c:ser>
        <c:ser>
          <c:idx val="9"/>
          <c:order val="5"/>
          <c:tx>
            <c:v>Isentropic expansion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('simple Otto Cycle'!$D$41,'simple Otto Cycle'!$D$50)</c:f>
              <c:numCache/>
            </c:numRef>
          </c:xVal>
          <c:yVal>
            <c:numRef>
              <c:f>('simple Otto Cycle'!$C$41,'simple Otto Cycle'!$C$50)</c:f>
              <c:numCache/>
            </c:numRef>
          </c:yVal>
          <c:smooth val="0"/>
        </c:ser>
        <c:ser>
          <c:idx val="13"/>
          <c:order val="6"/>
          <c:tx>
            <c:v>Isochoric cooling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 diagr. data'!$N$8:$N$108</c:f>
              <c:numCache>
                <c:ptCount val="101"/>
                <c:pt idx="0">
                  <c:v>7.795543420918945</c:v>
                </c:pt>
                <c:pt idx="1">
                  <c:v>7.786006094123048</c:v>
                </c:pt>
                <c:pt idx="2">
                  <c:v>7.77646876732715</c:v>
                </c:pt>
                <c:pt idx="3">
                  <c:v>7.766931440531252</c:v>
                </c:pt>
                <c:pt idx="4">
                  <c:v>7.757394113735354</c:v>
                </c:pt>
                <c:pt idx="5">
                  <c:v>7.747856786939456</c:v>
                </c:pt>
                <c:pt idx="6">
                  <c:v>7.7383194601435585</c:v>
                </c:pt>
                <c:pt idx="7">
                  <c:v>7.728782133347661</c:v>
                </c:pt>
                <c:pt idx="8">
                  <c:v>7.719244806551763</c:v>
                </c:pt>
                <c:pt idx="9">
                  <c:v>7.709707479755865</c:v>
                </c:pt>
                <c:pt idx="10">
                  <c:v>7.700170152959967</c:v>
                </c:pt>
                <c:pt idx="11">
                  <c:v>7.6906328261640695</c:v>
                </c:pt>
                <c:pt idx="12">
                  <c:v>7.681095499368172</c:v>
                </c:pt>
                <c:pt idx="13">
                  <c:v>7.671558172572274</c:v>
                </c:pt>
                <c:pt idx="14">
                  <c:v>7.662020845776376</c:v>
                </c:pt>
                <c:pt idx="15">
                  <c:v>7.652483518980478</c:v>
                </c:pt>
                <c:pt idx="16">
                  <c:v>7.6429461921845805</c:v>
                </c:pt>
                <c:pt idx="17">
                  <c:v>7.633408865388683</c:v>
                </c:pt>
                <c:pt idx="18">
                  <c:v>7.623871538592785</c:v>
                </c:pt>
                <c:pt idx="19">
                  <c:v>7.614334211796887</c:v>
                </c:pt>
                <c:pt idx="20">
                  <c:v>7.604796885000989</c:v>
                </c:pt>
                <c:pt idx="21">
                  <c:v>7.5952595582050915</c:v>
                </c:pt>
                <c:pt idx="22">
                  <c:v>7.585722231409194</c:v>
                </c:pt>
                <c:pt idx="23">
                  <c:v>7.576184904613296</c:v>
                </c:pt>
                <c:pt idx="24">
                  <c:v>7.566647577817398</c:v>
                </c:pt>
                <c:pt idx="25">
                  <c:v>7.5571102510215</c:v>
                </c:pt>
                <c:pt idx="26">
                  <c:v>7.547572924225602</c:v>
                </c:pt>
                <c:pt idx="27">
                  <c:v>7.538035597429705</c:v>
                </c:pt>
                <c:pt idx="28">
                  <c:v>7.528498270633807</c:v>
                </c:pt>
                <c:pt idx="29">
                  <c:v>7.518960943837909</c:v>
                </c:pt>
                <c:pt idx="30">
                  <c:v>7.509423617042011</c:v>
                </c:pt>
                <c:pt idx="31">
                  <c:v>7.499886290246113</c:v>
                </c:pt>
                <c:pt idx="32">
                  <c:v>7.490348963450216</c:v>
                </c:pt>
                <c:pt idx="33">
                  <c:v>7.480811636654318</c:v>
                </c:pt>
                <c:pt idx="34">
                  <c:v>7.47127430985842</c:v>
                </c:pt>
                <c:pt idx="35">
                  <c:v>7.461736983062522</c:v>
                </c:pt>
                <c:pt idx="36">
                  <c:v>7.452199656266624</c:v>
                </c:pt>
                <c:pt idx="37">
                  <c:v>7.442662329470727</c:v>
                </c:pt>
                <c:pt idx="38">
                  <c:v>7.433125002674829</c:v>
                </c:pt>
                <c:pt idx="39">
                  <c:v>7.423587675878931</c:v>
                </c:pt>
                <c:pt idx="40">
                  <c:v>7.414050349083033</c:v>
                </c:pt>
                <c:pt idx="41">
                  <c:v>7.404513022287135</c:v>
                </c:pt>
                <c:pt idx="42">
                  <c:v>7.394975695491238</c:v>
                </c:pt>
                <c:pt idx="43">
                  <c:v>7.38543836869534</c:v>
                </c:pt>
                <c:pt idx="44">
                  <c:v>7.375901041899442</c:v>
                </c:pt>
                <c:pt idx="45">
                  <c:v>7.366363715103544</c:v>
                </c:pt>
                <c:pt idx="46">
                  <c:v>7.356826388307646</c:v>
                </c:pt>
                <c:pt idx="47">
                  <c:v>7.3472890615117485</c:v>
                </c:pt>
                <c:pt idx="48">
                  <c:v>7.337751734715851</c:v>
                </c:pt>
                <c:pt idx="49">
                  <c:v>7.328214407919953</c:v>
                </c:pt>
                <c:pt idx="50">
                  <c:v>7.318677081124055</c:v>
                </c:pt>
                <c:pt idx="51">
                  <c:v>7.309139754328157</c:v>
                </c:pt>
                <c:pt idx="52">
                  <c:v>7.2996024275322595</c:v>
                </c:pt>
                <c:pt idx="53">
                  <c:v>7.290065100736362</c:v>
                </c:pt>
                <c:pt idx="54">
                  <c:v>7.280527773940464</c:v>
                </c:pt>
                <c:pt idx="55">
                  <c:v>7.270990447144566</c:v>
                </c:pt>
                <c:pt idx="56">
                  <c:v>7.261453120348668</c:v>
                </c:pt>
                <c:pt idx="57">
                  <c:v>7.2519157935527705</c:v>
                </c:pt>
                <c:pt idx="58">
                  <c:v>7.242378466756873</c:v>
                </c:pt>
                <c:pt idx="59">
                  <c:v>7.232841139960975</c:v>
                </c:pt>
                <c:pt idx="60">
                  <c:v>7.223303813165077</c:v>
                </c:pt>
                <c:pt idx="61">
                  <c:v>7.213766486369179</c:v>
                </c:pt>
                <c:pt idx="62">
                  <c:v>7.2042291595732815</c:v>
                </c:pt>
                <c:pt idx="63">
                  <c:v>7.194691832777384</c:v>
                </c:pt>
                <c:pt idx="64">
                  <c:v>7.185154505981486</c:v>
                </c:pt>
                <c:pt idx="65">
                  <c:v>7.175617179185588</c:v>
                </c:pt>
                <c:pt idx="66">
                  <c:v>7.16607985238969</c:v>
                </c:pt>
                <c:pt idx="67">
                  <c:v>7.1565425255937924</c:v>
                </c:pt>
                <c:pt idx="68">
                  <c:v>7.147005198797895</c:v>
                </c:pt>
                <c:pt idx="69">
                  <c:v>7.137467872001997</c:v>
                </c:pt>
                <c:pt idx="70">
                  <c:v>7.127930545206099</c:v>
                </c:pt>
                <c:pt idx="71">
                  <c:v>7.118393218410201</c:v>
                </c:pt>
                <c:pt idx="72">
                  <c:v>7.108855891614303</c:v>
                </c:pt>
                <c:pt idx="73">
                  <c:v>7.099318564818406</c:v>
                </c:pt>
                <c:pt idx="74">
                  <c:v>7.089781238022508</c:v>
                </c:pt>
                <c:pt idx="75">
                  <c:v>7.08024391122661</c:v>
                </c:pt>
                <c:pt idx="76">
                  <c:v>7.070706584430712</c:v>
                </c:pt>
                <c:pt idx="77">
                  <c:v>7.061169257634814</c:v>
                </c:pt>
                <c:pt idx="78">
                  <c:v>7.051631930838917</c:v>
                </c:pt>
                <c:pt idx="79">
                  <c:v>7.042094604043019</c:v>
                </c:pt>
                <c:pt idx="80">
                  <c:v>7.032557277247121</c:v>
                </c:pt>
                <c:pt idx="81">
                  <c:v>7.023019950451223</c:v>
                </c:pt>
                <c:pt idx="82">
                  <c:v>7.013482623655325</c:v>
                </c:pt>
                <c:pt idx="83">
                  <c:v>7.003945296859428</c:v>
                </c:pt>
                <c:pt idx="84">
                  <c:v>6.99440797006353</c:v>
                </c:pt>
                <c:pt idx="85">
                  <c:v>6.984870643267632</c:v>
                </c:pt>
                <c:pt idx="86">
                  <c:v>6.975333316471734</c:v>
                </c:pt>
                <c:pt idx="87">
                  <c:v>6.965795989675836</c:v>
                </c:pt>
                <c:pt idx="88">
                  <c:v>6.9562586628799385</c:v>
                </c:pt>
                <c:pt idx="89">
                  <c:v>6.946721336084041</c:v>
                </c:pt>
                <c:pt idx="90">
                  <c:v>6.937184009288143</c:v>
                </c:pt>
                <c:pt idx="91">
                  <c:v>6.927646682492245</c:v>
                </c:pt>
                <c:pt idx="92">
                  <c:v>6.918109355696347</c:v>
                </c:pt>
                <c:pt idx="93">
                  <c:v>6.9085720289004495</c:v>
                </c:pt>
                <c:pt idx="94">
                  <c:v>6.899034702104552</c:v>
                </c:pt>
                <c:pt idx="95">
                  <c:v>6.889497375308654</c:v>
                </c:pt>
                <c:pt idx="96">
                  <c:v>6.879960048512756</c:v>
                </c:pt>
                <c:pt idx="97">
                  <c:v>6.870422721716858</c:v>
                </c:pt>
                <c:pt idx="98">
                  <c:v>6.8608853949209605</c:v>
                </c:pt>
                <c:pt idx="99">
                  <c:v>6.851348068125063</c:v>
                </c:pt>
                <c:pt idx="100">
                  <c:v>6.841810741329165</c:v>
                </c:pt>
              </c:numCache>
            </c:numRef>
          </c:xVal>
          <c:yVal>
            <c:numRef>
              <c:f>'T-s diagr. data'!$O$8:$O$108</c:f>
              <c:numCache>
                <c:ptCount val="101"/>
                <c:pt idx="0">
                  <c:v>1020.4755023511261</c:v>
                </c:pt>
                <c:pt idx="1">
                  <c:v>1009.1673838645269</c:v>
                </c:pt>
                <c:pt idx="2">
                  <c:v>997.9607095446994</c:v>
                </c:pt>
                <c:pt idx="3">
                  <c:v>986.8520677890455</c:v>
                </c:pt>
                <c:pt idx="4">
                  <c:v>975.8410497837102</c:v>
                </c:pt>
                <c:pt idx="5">
                  <c:v>964.9265980474911</c:v>
                </c:pt>
                <c:pt idx="6">
                  <c:v>954.1077092938013</c:v>
                </c:pt>
                <c:pt idx="7">
                  <c:v>943.3834312794778</c:v>
                </c:pt>
                <c:pt idx="8">
                  <c:v>932.7528604471103</c:v>
                </c:pt>
                <c:pt idx="9">
                  <c:v>922.2151391834127</c:v>
                </c:pt>
                <c:pt idx="10">
                  <c:v>911.7694533999819</c:v>
                </c:pt>
                <c:pt idx="11">
                  <c:v>901.4150301806867</c:v>
                </c:pt>
                <c:pt idx="12">
                  <c:v>891.1511355279338</c:v>
                </c:pt>
                <c:pt idx="13">
                  <c:v>880.9770722001758</c:v>
                </c:pt>
                <c:pt idx="14">
                  <c:v>870.892177634816</c:v>
                </c:pt>
                <c:pt idx="15">
                  <c:v>860.8958219510613</c:v>
                </c:pt>
                <c:pt idx="16">
                  <c:v>850.9874060278463</c:v>
                </c:pt>
                <c:pt idx="17">
                  <c:v>841.1663596524575</c:v>
                </c:pt>
                <c:pt idx="18">
                  <c:v>831.4321397358796</c:v>
                </c:pt>
                <c:pt idx="19">
                  <c:v>821.7842285912376</c:v>
                </c:pt>
                <c:pt idx="20">
                  <c:v>812.2221322722052</c:v>
                </c:pt>
                <c:pt idx="21">
                  <c:v>802.7453789684066</c:v>
                </c:pt>
                <c:pt idx="22">
                  <c:v>793.3535174553133</c:v>
                </c:pt>
                <c:pt idx="23">
                  <c:v>784.0461160962554</c:v>
                </c:pt>
                <c:pt idx="24">
                  <c:v>774.8227594304599</c:v>
                </c:pt>
                <c:pt idx="25">
                  <c:v>765.6830498641652</c:v>
                </c:pt>
                <c:pt idx="26">
                  <c:v>756.6266039178619</c:v>
                </c:pt>
                <c:pt idx="27">
                  <c:v>747.6530518314602</c:v>
                </c:pt>
                <c:pt idx="28">
                  <c:v>738.7620361696669</c:v>
                </c:pt>
                <c:pt idx="29">
                  <c:v>729.9532106035498</c:v>
                </c:pt>
                <c:pt idx="30">
                  <c:v>721.2262387345903</c:v>
                </c:pt>
                <c:pt idx="31">
                  <c:v>712.5807929604479</c:v>
                </c:pt>
                <c:pt idx="32">
                  <c:v>704.0165533817782</c:v>
                </c:pt>
                <c:pt idx="33">
                  <c:v>695.533206749601</c:v>
                </c:pt>
                <c:pt idx="34">
                  <c:v>687.1304454527195</c:v>
                </c:pt>
                <c:pt idx="35">
                  <c:v>678.8079665448223</c:v>
                </c:pt>
                <c:pt idx="36">
                  <c:v>670.565470810929</c:v>
                </c:pt>
                <c:pt idx="37">
                  <c:v>662.4026618729032</c:v>
                </c:pt>
                <c:pt idx="38">
                  <c:v>654.3192453337857</c:v>
                </c:pt>
                <c:pt idx="39">
                  <c:v>646.3149279607504</c:v>
                </c:pt>
                <c:pt idx="40">
                  <c:v>638.3894169064655</c:v>
                </c:pt>
                <c:pt idx="41">
                  <c:v>630.542418968681</c:v>
                </c:pt>
                <c:pt idx="42">
                  <c:v>622.7736398878698</c:v>
                </c:pt>
                <c:pt idx="43">
                  <c:v>615.0827836827707</c:v>
                </c:pt>
                <c:pt idx="44">
                  <c:v>607.4695520235598</c:v>
                </c:pt>
                <c:pt idx="45">
                  <c:v>599.9336436425755</c:v>
                </c:pt>
                <c:pt idx="46">
                  <c:v>592.4747532822907</c:v>
                </c:pt>
                <c:pt idx="47">
                  <c:v>585.092573180406</c:v>
                </c:pt>
                <c:pt idx="48">
                  <c:v>577.7867894336537</c:v>
                </c:pt>
                <c:pt idx="49">
                  <c:v>570.5570838908831</c:v>
                </c:pt>
                <c:pt idx="50">
                  <c:v>563.4031330639242</c:v>
                </c:pt>
                <c:pt idx="51">
                  <c:v>556.3246077025567</c:v>
                </c:pt>
                <c:pt idx="52">
                  <c:v>549.3211725049689</c:v>
                </c:pt>
                <c:pt idx="53">
                  <c:v>542.3924858134679</c:v>
                </c:pt>
                <c:pt idx="54">
                  <c:v>535.5381993436222</c:v>
                </c:pt>
                <c:pt idx="55">
                  <c:v>528.7579579461567</c:v>
                </c:pt>
                <c:pt idx="56">
                  <c:v>522.0513994009071</c:v>
                </c:pt>
                <c:pt idx="57">
                  <c:v>515.4181542420325</c:v>
                </c:pt>
                <c:pt idx="58">
                  <c:v>508.857845613739</c:v>
                </c:pt>
                <c:pt idx="59">
                  <c:v>502.37008915556584</c:v>
                </c:pt>
                <c:pt idx="60">
                  <c:v>495.95449279322503</c:v>
                </c:pt>
                <c:pt idx="61">
                  <c:v>489.610657059204</c:v>
                </c:pt>
                <c:pt idx="62">
                  <c:v>483.3381751909608</c:v>
                </c:pt>
                <c:pt idx="63">
                  <c:v>477.1366312186789</c:v>
                </c:pt>
                <c:pt idx="64">
                  <c:v>471.00560300554406</c:v>
                </c:pt>
                <c:pt idx="65">
                  <c:v>464.94466029073766</c:v>
                </c:pt>
                <c:pt idx="66">
                  <c:v>458.95336525500795</c:v>
                </c:pt>
                <c:pt idx="67">
                  <c:v>453.0312726076772</c:v>
                </c:pt>
                <c:pt idx="68">
                  <c:v>447.17792969392934</c:v>
                </c:pt>
                <c:pt idx="69">
                  <c:v>441.3928766212392</c:v>
                </c:pt>
                <c:pt idx="70">
                  <c:v>435.67564640376133</c:v>
                </c:pt>
                <c:pt idx="71">
                  <c:v>430.0257651235248</c:v>
                </c:pt>
                <c:pt idx="72">
                  <c:v>424.4427520653595</c:v>
                </c:pt>
                <c:pt idx="73">
                  <c:v>418.9261201179748</c:v>
                </c:pt>
                <c:pt idx="74">
                  <c:v>413.4753755594702</c:v>
                </c:pt>
                <c:pt idx="75">
                  <c:v>408.0900186939182</c:v>
                </c:pt>
                <c:pt idx="76">
                  <c:v>402.76954387022545</c:v>
                </c:pt>
                <c:pt idx="77">
                  <c:v>397.5134397626717</c:v>
                </c:pt>
                <c:pt idx="78">
                  <c:v>392.3211896184924</c:v>
                </c:pt>
                <c:pt idx="79">
                  <c:v>387.19227151334474</c:v>
                </c:pt>
                <c:pt idx="80">
                  <c:v>382.1261586135659</c:v>
                </c:pt>
                <c:pt idx="81">
                  <c:v>377.12231944416874</c:v>
                </c:pt>
                <c:pt idx="82">
                  <c:v>372.18021816149934</c:v>
                </c:pt>
                <c:pt idx="83">
                  <c:v>367.2993148295049</c:v>
                </c:pt>
                <c:pt idx="84">
                  <c:v>362.47906569852927</c:v>
                </c:pt>
                <c:pt idx="85">
                  <c:v>357.7189239855941</c:v>
                </c:pt>
                <c:pt idx="86">
                  <c:v>353.0183381550287</c:v>
                </c:pt>
                <c:pt idx="87">
                  <c:v>348.3767555458096</c:v>
                </c:pt>
                <c:pt idx="88">
                  <c:v>343.7936198441095</c:v>
                </c:pt>
                <c:pt idx="89">
                  <c:v>339.26837252542657</c:v>
                </c:pt>
                <c:pt idx="90">
                  <c:v>334.80045297747023</c:v>
                </c:pt>
                <c:pt idx="91">
                  <c:v>330.38929876683835</c:v>
                </c:pt>
                <c:pt idx="92">
                  <c:v>326.03434591740483</c:v>
                </c:pt>
                <c:pt idx="93">
                  <c:v>321.73502918552737</c:v>
                </c:pt>
                <c:pt idx="94">
                  <c:v>317.4907823315736</c:v>
                </c:pt>
                <c:pt idx="95">
                  <c:v>313.30103838731947</c:v>
                </c:pt>
                <c:pt idx="96">
                  <c:v>309.16522991878827</c:v>
                </c:pt>
                <c:pt idx="97">
                  <c:v>305.08278928417116</c:v>
                </c:pt>
                <c:pt idx="98">
                  <c:v>301.05314888648866</c:v>
                </c:pt>
                <c:pt idx="99">
                  <c:v>297.0757414207281</c:v>
                </c:pt>
                <c:pt idx="100">
                  <c:v>293.1500001152211</c:v>
                </c:pt>
              </c:numCache>
            </c:numRef>
          </c:yVal>
          <c:smooth val="0"/>
        </c:ser>
        <c:ser>
          <c:idx val="2"/>
          <c:order val="7"/>
          <c:tx>
            <c:v>State 2 (GM)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'simple Otto Cycle'!$D$30</c:f>
              <c:numCache/>
            </c:numRef>
          </c:xVal>
          <c:yVal>
            <c:numRef>
              <c:f>'simple Otto Cycle'!$C$30</c:f>
              <c:numCache/>
            </c:numRef>
          </c:yVal>
          <c:smooth val="0"/>
        </c:ser>
        <c:ser>
          <c:idx val="3"/>
          <c:order val="8"/>
          <c:tx>
            <c:v>State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'simple Otto Cycle'!$D$31</c:f>
              <c:numCache/>
            </c:numRef>
          </c:xVal>
          <c:yVal>
            <c:numRef>
              <c:f>'simple Otto Cycle'!$C$31</c:f>
              <c:numCache/>
            </c:numRef>
          </c:yVal>
          <c:smooth val="0"/>
        </c:ser>
        <c:ser>
          <c:idx val="4"/>
          <c:order val="9"/>
          <c:tx>
            <c:v>State 3 GM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'simple Otto Cycle'!$D$32</c:f>
              <c:numCache/>
            </c:numRef>
          </c:xVal>
          <c:yVal>
            <c:numRef>
              <c:f>'simple Otto Cycle'!$C$32</c:f>
              <c:numCache/>
            </c:numRef>
          </c:yVal>
          <c:smooth val="0"/>
        </c:ser>
        <c:ser>
          <c:idx val="5"/>
          <c:order val="10"/>
          <c:tx>
            <c:v>State 4 (GM)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'simple Otto Cycle'!$D$41</c:f>
              <c:numCache/>
            </c:numRef>
          </c:xVal>
          <c:yVal>
            <c:numRef>
              <c:f>'simple Otto Cycle'!$C$41</c:f>
              <c:numCache/>
            </c:numRef>
          </c:yVal>
          <c:smooth val="0"/>
        </c:ser>
        <c:ser>
          <c:idx val="14"/>
          <c:order val="11"/>
          <c:tx>
            <c:v>State 5</c:v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'simple Otto Cycle'!$D$49</c:f>
              <c:numCache/>
            </c:numRef>
          </c:xVal>
          <c:yVal>
            <c:numRef>
              <c:f>'simple Otto Cycle'!$C$49</c:f>
              <c:numCache/>
            </c:numRef>
          </c:yVal>
          <c:smooth val="0"/>
        </c:ser>
        <c:ser>
          <c:idx val="7"/>
          <c:order val="12"/>
          <c:tx>
            <c:v>State 5 GM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'simple Otto Cycle'!$D$50</c:f>
              <c:numCache/>
            </c:numRef>
          </c:xVal>
          <c:yVal>
            <c:numRef>
              <c:f>'simple Otto Cycle'!$C$50</c:f>
              <c:numCache/>
            </c:numRef>
          </c:yVal>
          <c:smooth val="0"/>
        </c:ser>
        <c:axId val="59815488"/>
        <c:axId val="45277761"/>
      </c:scatterChart>
      <c:valAx>
        <c:axId val="59815488"/>
        <c:scaling>
          <c:orientation val="minMax"/>
          <c:max val="9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s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[kJ/kgK]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77761"/>
        <c:crosses val="autoZero"/>
        <c:crossBetween val="midCat"/>
        <c:dispUnits/>
      </c:valAx>
      <c:valAx>
        <c:axId val="4527776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T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[K]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8154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P-v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chart</a:t>
            </a:r>
          </a:p>
        </c:rich>
      </c:tx>
      <c:layout>
        <c:manualLayout>
          <c:xMode val="factor"/>
          <c:yMode val="factor"/>
          <c:x val="-0.002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6725"/>
          <c:w val="0.94275"/>
          <c:h val="0.86425"/>
        </c:manualLayout>
      </c:layout>
      <c:scatterChart>
        <c:scatterStyle val="lineMarker"/>
        <c:varyColors val="0"/>
        <c:ser>
          <c:idx val="8"/>
          <c:order val="0"/>
          <c:tx>
            <c:v>Isentrope s2 = s3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 diagr. data'!$F$8:$F$108</c:f>
              <c:numCache>
                <c:ptCount val="101"/>
                <c:pt idx="0">
                  <c:v>0.005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'T-s diagr. data'!$G$8:$G$108</c:f>
              <c:numCache>
                <c:ptCount val="101"/>
                <c:pt idx="0">
                  <c:v>1033.458835269875</c:v>
                </c:pt>
                <c:pt idx="1">
                  <c:v>417.5708162715692</c:v>
                </c:pt>
                <c:pt idx="2">
                  <c:v>167.3171023951367</c:v>
                </c:pt>
                <c:pt idx="3">
                  <c:v>97.55272510882824</c:v>
                </c:pt>
                <c:pt idx="4">
                  <c:v>66.3769543729118</c:v>
                </c:pt>
                <c:pt idx="5">
                  <c:v>49.16517940115473</c:v>
                </c:pt>
                <c:pt idx="6">
                  <c:v>38.431674990865076</c:v>
                </c:pt>
                <c:pt idx="7">
                  <c:v>31.183119573480468</c:v>
                </c:pt>
                <c:pt idx="8">
                  <c:v>26.004380697535154</c:v>
                </c:pt>
                <c:pt idx="9">
                  <c:v>22.145675573130276</c:v>
                </c:pt>
                <c:pt idx="10">
                  <c:v>19.17534334115218</c:v>
                </c:pt>
                <c:pt idx="11">
                  <c:v>16.828601653098822</c:v>
                </c:pt>
                <c:pt idx="12">
                  <c:v>14.934688439743798</c:v>
                </c:pt>
                <c:pt idx="13">
                  <c:v>13.37891084778919</c:v>
                </c:pt>
                <c:pt idx="14">
                  <c:v>12.081599975389409</c:v>
                </c:pt>
                <c:pt idx="15">
                  <c:v>10.985825770738414</c:v>
                </c:pt>
                <c:pt idx="16">
                  <c:v>10.049910989956958</c:v>
                </c:pt>
                <c:pt idx="17">
                  <c:v>9.242700131552198</c:v>
                </c:pt>
                <c:pt idx="18">
                  <c:v>8.540474181554584</c:v>
                </c:pt>
                <c:pt idx="19">
                  <c:v>7.924882968020049</c:v>
                </c:pt>
                <c:pt idx="20">
                  <c:v>7.381525873003118</c:v>
                </c:pt>
                <c:pt idx="21">
                  <c:v>6.898956697153299</c:v>
                </c:pt>
                <c:pt idx="22">
                  <c:v>6.46797258406822</c:v>
                </c:pt>
                <c:pt idx="23">
                  <c:v>6.081097231658512</c:v>
                </c:pt>
                <c:pt idx="24">
                  <c:v>5.732199438643694</c:v>
                </c:pt>
                <c:pt idx="25">
                  <c:v>5.416207715748984</c:v>
                </c:pt>
                <c:pt idx="26">
                  <c:v>5.128893911527307</c:v>
                </c:pt>
                <c:pt idx="27">
                  <c:v>4.866707336145787</c:v>
                </c:pt>
                <c:pt idx="28">
                  <c:v>4.626646199927696</c:v>
                </c:pt>
                <c:pt idx="29">
                  <c:v>4.406156992693963</c:v>
                </c:pt>
                <c:pt idx="30">
                  <c:v>4.203055011272728</c:v>
                </c:pt>
                <c:pt idx="31">
                  <c:v>4.015461056460939</c:v>
                </c:pt>
                <c:pt idx="32">
                  <c:v>3.8417506214053057</c:v>
                </c:pt>
                <c:pt idx="33">
                  <c:v>3.6805127792280254</c:v>
                </c:pt>
                <c:pt idx="34">
                  <c:v>3.530516732603884</c:v>
                </c:pt>
                <c:pt idx="35">
                  <c:v>3.390684381358746</c:v>
                </c:pt>
                <c:pt idx="36">
                  <c:v>3.2600677124354593</c:v>
                </c:pt>
                <c:pt idx="37">
                  <c:v>3.1378300511618544</c:v>
                </c:pt>
                <c:pt idx="38">
                  <c:v>3.0232304319968635</c:v>
                </c:pt>
                <c:pt idx="39">
                  <c:v>2.915610503765738</c:v>
                </c:pt>
                <c:pt idx="40">
                  <c:v>2.8143835058596265</c:v>
                </c:pt>
                <c:pt idx="41">
                  <c:v>2.719024945794106</c:v>
                </c:pt>
                <c:pt idx="42">
                  <c:v>2.6290646816449317</c:v>
                </c:pt>
                <c:pt idx="43">
                  <c:v>2.544080170183921</c:v>
                </c:pt>
                <c:pt idx="44">
                  <c:v>2.4636906867245836</c:v>
                </c:pt>
                <c:pt idx="45">
                  <c:v>2.3875523585303435</c:v>
                </c:pt>
                <c:pt idx="46">
                  <c:v>2.3153538822286226</c:v>
                </c:pt>
                <c:pt idx="47">
                  <c:v>2.2468128228681308</c:v>
                </c:pt>
                <c:pt idx="48">
                  <c:v>2.181672380784144</c:v>
                </c:pt>
                <c:pt idx="49">
                  <c:v>2.1196986179567046</c:v>
                </c:pt>
                <c:pt idx="50">
                  <c:v>2.06067799591184</c:v>
                </c:pt>
                <c:pt idx="51">
                  <c:v>2.0044152367844332</c:v>
                </c:pt>
                <c:pt idx="52">
                  <c:v>1.9507314464327874</c:v>
                </c:pt>
                <c:pt idx="53">
                  <c:v>1.8994624586958868</c:v>
                </c:pt>
                <c:pt idx="54">
                  <c:v>1.850457375064525</c:v>
                </c:pt>
                <c:pt idx="55">
                  <c:v>1.8035772728427646</c:v>
                </c:pt>
                <c:pt idx="56">
                  <c:v>1.75869405973162</c:v>
                </c:pt>
                <c:pt idx="57">
                  <c:v>1.7156894559443852</c:v>
                </c:pt>
                <c:pt idx="58">
                  <c:v>1.6744540877885499</c:v>
                </c:pt>
                <c:pt idx="59">
                  <c:v>1.6348866787560723</c:v>
                </c:pt>
                <c:pt idx="60">
                  <c:v>1.5968933262532015</c:v>
                </c:pt>
                <c:pt idx="61">
                  <c:v>1.5603868536352121</c:v>
                </c:pt>
                <c:pt idx="62">
                  <c:v>1.5252862286302706</c:v>
                </c:pt>
                <c:pt idx="63">
                  <c:v>1.4915160404122771</c:v>
                </c:pt>
                <c:pt idx="64">
                  <c:v>1.4590060285908264</c:v>
                </c:pt>
                <c:pt idx="65">
                  <c:v>1.4276906582502742</c:v>
                </c:pt>
                <c:pt idx="66">
                  <c:v>1.3975087359112426</c:v>
                </c:pt>
                <c:pt idx="67">
                  <c:v>1.3684030619262342</c:v>
                </c:pt>
                <c:pt idx="68">
                  <c:v>1.3403201153715942</c:v>
                </c:pt>
                <c:pt idx="69">
                  <c:v>1.3132097679745838</c:v>
                </c:pt>
                <c:pt idx="70">
                  <c:v>1.2870250240238716</c:v>
                </c:pt>
                <c:pt idx="71">
                  <c:v>1.2617217835806809</c:v>
                </c:pt>
                <c:pt idx="72">
                  <c:v>1.2372586265985905</c:v>
                </c:pt>
                <c:pt idx="73">
                  <c:v>1.2135966158575417</c:v>
                </c:pt>
                <c:pt idx="74">
                  <c:v>1.1906991168407446</c:v>
                </c:pt>
                <c:pt idx="75">
                  <c:v>1.1685316328780937</c:v>
                </c:pt>
                <c:pt idx="76">
                  <c:v>1.147061654107225</c:v>
                </c:pt>
                <c:pt idx="77">
                  <c:v>1.1262585189034051</c:v>
                </c:pt>
                <c:pt idx="78">
                  <c:v>1.1060932866194058</c:v>
                </c:pt>
                <c:pt idx="79">
                  <c:v>1.0865386205763996</c:v>
                </c:pt>
                <c:pt idx="80">
                  <c:v>1.0675686803639284</c:v>
                </c:pt>
                <c:pt idx="81">
                  <c:v>1.0491590226032075</c:v>
                </c:pt>
                <c:pt idx="82">
                  <c:v>1.0312865069619799</c:v>
                </c:pt>
                <c:pt idx="83">
                  <c:v>1.0139292214791347</c:v>
                </c:pt>
                <c:pt idx="84">
                  <c:v>0.9970663896594709</c:v>
                </c:pt>
                <c:pt idx="85">
                  <c:v>0.980678308113529</c:v>
                </c:pt>
                <c:pt idx="86">
                  <c:v>0.9647462771446591</c:v>
                </c:pt>
                <c:pt idx="87">
                  <c:v>0.9492525384554572</c:v>
                </c:pt>
                <c:pt idx="88">
                  <c:v>0.9341802185968583</c:v>
                </c:pt>
                <c:pt idx="89">
                  <c:v>0.9195132745721831</c:v>
                </c:pt>
                <c:pt idx="90">
                  <c:v>0.9052364445519686</c:v>
                </c:pt>
                <c:pt idx="91">
                  <c:v>0.8913352017144297</c:v>
                </c:pt>
                <c:pt idx="92">
                  <c:v>0.8777957112914527</c:v>
                </c:pt>
                <c:pt idx="93">
                  <c:v>0.8646047905558083</c:v>
                </c:pt>
                <c:pt idx="94">
                  <c:v>0.8517498715204779</c:v>
                </c:pt>
                <c:pt idx="95">
                  <c:v>0.8392189661397118</c:v>
                </c:pt>
                <c:pt idx="96">
                  <c:v>0.8270006338199221</c:v>
                </c:pt>
                <c:pt idx="97">
                  <c:v>0.8150839510649301</c:v>
                </c:pt>
                <c:pt idx="98">
                  <c:v>0.8034584830951945</c:v>
                </c:pt>
                <c:pt idx="99">
                  <c:v>0.7921142572940483</c:v>
                </c:pt>
                <c:pt idx="100">
                  <c:v>0.7810417383463762</c:v>
                </c:pt>
              </c:numCache>
            </c:numRef>
          </c:yVal>
          <c:smooth val="0"/>
        </c:ser>
        <c:ser>
          <c:idx val="10"/>
          <c:order val="1"/>
          <c:tx>
            <c:v>Isentrope s4 = s5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 diagr. data'!$F$8:$F$108</c:f>
              <c:numCache>
                <c:ptCount val="101"/>
                <c:pt idx="0">
                  <c:v>0.005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'T-s diagr. data'!$H$8:$H$108</c:f>
              <c:numCache>
                <c:ptCount val="101"/>
                <c:pt idx="0">
                  <c:v>2675.950506013682</c:v>
                </c:pt>
                <c:pt idx="1">
                  <c:v>1104.6243701203907</c:v>
                </c:pt>
                <c:pt idx="2">
                  <c:v>454.52685597473675</c:v>
                </c:pt>
                <c:pt idx="3">
                  <c:v>269.96169823502487</c:v>
                </c:pt>
                <c:pt idx="4">
                  <c:v>186.40016672979448</c:v>
                </c:pt>
                <c:pt idx="5">
                  <c:v>139.78862945624323</c:v>
                </c:pt>
                <c:pt idx="6">
                  <c:v>110.46243503648812</c:v>
                </c:pt>
                <c:pt idx="7">
                  <c:v>90.49963766029282</c:v>
                </c:pt>
                <c:pt idx="8">
                  <c:v>76.13265169745233</c:v>
                </c:pt>
                <c:pt idx="9">
                  <c:v>65.35487473470323</c:v>
                </c:pt>
                <c:pt idx="10">
                  <c:v>57.0055802908393</c:v>
                </c:pt>
                <c:pt idx="11">
                  <c:v>50.36961064440461</c:v>
                </c:pt>
                <c:pt idx="12">
                  <c:v>44.98380903115826</c:v>
                </c:pt>
                <c:pt idx="13">
                  <c:v>40.53584438945066</c:v>
                </c:pt>
                <c:pt idx="14">
                  <c:v>36.80792529055839</c:v>
                </c:pt>
                <c:pt idx="15">
                  <c:v>33.6438425297092</c:v>
                </c:pt>
                <c:pt idx="16">
                  <c:v>30.928827488132267</c:v>
                </c:pt>
                <c:pt idx="17">
                  <c:v>28.57678696595707</c:v>
                </c:pt>
                <c:pt idx="18">
                  <c:v>26.52195589886036</c:v>
                </c:pt>
                <c:pt idx="19">
                  <c:v>24.71328837931063</c:v>
                </c:pt>
                <c:pt idx="20">
                  <c:v>23.110597520937528</c:v>
                </c:pt>
                <c:pt idx="21">
                  <c:v>21.68184207012259</c:v>
                </c:pt>
                <c:pt idx="22">
                  <c:v>20.401182749774968</c:v>
                </c:pt>
                <c:pt idx="23">
                  <c:v>19.247566241984213</c:v>
                </c:pt>
                <c:pt idx="24">
                  <c:v>18.203677569471058</c:v>
                </c:pt>
                <c:pt idx="25">
                  <c:v>17.25515434847339</c:v>
                </c:pt>
                <c:pt idx="26">
                  <c:v>16.389989851180417</c:v>
                </c:pt>
                <c:pt idx="27">
                  <c:v>15.59807427096983</c:v>
                </c:pt>
                <c:pt idx="28">
                  <c:v>14.870838422590598</c:v>
                </c:pt>
                <c:pt idx="29">
                  <c:v>14.200974275722949</c:v>
                </c:pt>
                <c:pt idx="30">
                  <c:v>13.582213757919115</c:v>
                </c:pt>
                <c:pt idx="31">
                  <c:v>13.009152199106802</c:v>
                </c:pt>
                <c:pt idx="32">
                  <c:v>12.4771063014251</c:v>
                </c:pt>
                <c:pt idx="33">
                  <c:v>11.981999046336428</c:v>
                </c:pt>
                <c:pt idx="34">
                  <c:v>11.520265791838083</c:v>
                </c:pt>
                <c:pt idx="35">
                  <c:v>11.088777167247226</c:v>
                </c:pt>
                <c:pt idx="36">
                  <c:v>10.684775379782803</c:v>
                </c:pt>
                <c:pt idx="37">
                  <c:v>10.30582130225886</c:v>
                </c:pt>
                <c:pt idx="38">
                  <c:v>9.949750282656723</c:v>
                </c:pt>
                <c:pt idx="39">
                  <c:v>9.614635052043635</c:v>
                </c:pt>
                <c:pt idx="40">
                  <c:v>9.298754442496342</c:v>
                </c:pt>
                <c:pt idx="41">
                  <c:v>9.000566886053807</c:v>
                </c:pt>
                <c:pt idx="42">
                  <c:v>8.718687868042545</c:v>
                </c:pt>
                <c:pt idx="43">
                  <c:v>8.451870666873036</c:v>
                </c:pt>
                <c:pt idx="44">
                  <c:v>8.198989837772645</c:v>
                </c:pt>
                <c:pt idx="45">
                  <c:v>7.959026997501784</c:v>
                </c:pt>
                <c:pt idx="46">
                  <c:v>7.73105854664583</c:v>
                </c:pt>
                <c:pt idx="47">
                  <c:v>7.514245029954885</c:v>
                </c:pt>
                <c:pt idx="48">
                  <c:v>7.3078218867408395</c:v>
                </c:pt>
                <c:pt idx="49">
                  <c:v>7.111091385203045</c:v>
                </c:pt>
                <c:pt idx="50">
                  <c:v>6.923415568563931</c:v>
                </c:pt>
                <c:pt idx="51">
                  <c:v>6.744210068831521</c:v>
                </c:pt>
                <c:pt idx="52">
                  <c:v>6.57293866689728</c:v>
                </c:pt>
                <c:pt idx="53">
                  <c:v>6.409108496610628</c:v>
                </c:pt>
                <c:pt idx="54">
                  <c:v>6.252265806113567</c:v>
                </c:pt>
                <c:pt idx="55">
                  <c:v>6.101992202781698</c:v>
                </c:pt>
                <c:pt idx="56">
                  <c:v>5.957901318994564</c:v>
                </c:pt>
                <c:pt idx="57">
                  <c:v>5.819635844985803</c:v>
                </c:pt>
                <c:pt idx="58">
                  <c:v>5.68686488284067</c:v>
                </c:pt>
                <c:pt idx="59">
                  <c:v>5.559281581972232</c:v>
                </c:pt>
                <c:pt idx="60">
                  <c:v>5.436601021999021</c:v>
                </c:pt>
                <c:pt idx="61">
                  <c:v>5.31855831351035</c:v>
                </c:pt>
                <c:pt idx="62">
                  <c:v>5.2049068911575205</c:v>
                </c:pt>
                <c:pt idx="63">
                  <c:v>5.095416976862843</c:v>
                </c:pt>
                <c:pt idx="64">
                  <c:v>4.989874193361736</c:v>
                </c:pt>
                <c:pt idx="65">
                  <c:v>4.888078313431563</c:v>
                </c:pt>
                <c:pt idx="66">
                  <c:v>4.789842125685318</c:v>
                </c:pt>
                <c:pt idx="67">
                  <c:v>4.6949904109029585</c:v>
                </c:pt>
                <c:pt idx="68">
                  <c:v>4.603358998775051</c:v>
                </c:pt>
                <c:pt idx="69">
                  <c:v>4.514793938031665</c:v>
                </c:pt>
                <c:pt idx="70">
                  <c:v>4.429150713845219</c:v>
                </c:pt>
                <c:pt idx="71">
                  <c:v>4.346293547870954</c:v>
                </c:pt>
                <c:pt idx="72">
                  <c:v>4.266094756722934</c:v>
                </c:pt>
                <c:pt idx="73">
                  <c:v>4.188434165662482</c:v>
                </c:pt>
                <c:pt idx="74">
                  <c:v>4.1131985720679</c:v>
                </c:pt>
                <c:pt idx="75">
                  <c:v>4.040281253853937</c:v>
                </c:pt>
                <c:pt idx="76">
                  <c:v>3.969581518535356</c:v>
                </c:pt>
                <c:pt idx="77">
                  <c:v>3.9010042890919703</c:v>
                </c:pt>
                <c:pt idx="78">
                  <c:v>3.834459723199991</c:v>
                </c:pt>
                <c:pt idx="79">
                  <c:v>3.7698628627547417</c:v>
                </c:pt>
                <c:pt idx="80">
                  <c:v>3.7071333109278326</c:v>
                </c:pt>
                <c:pt idx="81">
                  <c:v>3.6461949342835474</c:v>
                </c:pt>
                <c:pt idx="82">
                  <c:v>3.5869755877291074</c:v>
                </c:pt>
                <c:pt idx="83">
                  <c:v>3.5294068602957367</c:v>
                </c:pt>
                <c:pt idx="84">
                  <c:v>3.473423839944273</c:v>
                </c:pt>
                <c:pt idx="85">
                  <c:v>3.4189648957656376</c:v>
                </c:pt>
                <c:pt idx="86">
                  <c:v>3.3659714761028647</c:v>
                </c:pt>
                <c:pt idx="87">
                  <c:v>3.314387921262021</c:v>
                </c:pt>
                <c:pt idx="88">
                  <c:v>3.264161289605607</c:v>
                </c:pt>
                <c:pt idx="89">
                  <c:v>3.21524422574807</c:v>
                </c:pt>
                <c:pt idx="90">
                  <c:v>3.16758214874921</c:v>
                </c:pt>
                <c:pt idx="91">
                  <c:v>3.1211325023692527</c:v>
                </c:pt>
                <c:pt idx="92">
                  <c:v>3.0758516879280244</c:v>
                </c:pt>
                <c:pt idx="93">
                  <c:v>3.0316981307752693</c:v>
                </c:pt>
                <c:pt idx="94">
                  <c:v>2.9886321567573124</c:v>
                </c:pt>
                <c:pt idx="95">
                  <c:v>2.9466158925347687</c:v>
                </c:pt>
                <c:pt idx="96">
                  <c:v>2.9056131639889955</c:v>
                </c:pt>
                <c:pt idx="97">
                  <c:v>2.865589403947508</c:v>
                </c:pt>
                <c:pt idx="98">
                  <c:v>2.826511561524068</c:v>
                </c:pt>
                <c:pt idx="99">
                  <c:v>2.7883480280002573</c:v>
                </c:pt>
                <c:pt idx="100">
                  <c:v>2.751068553171169</c:v>
                </c:pt>
              </c:numCache>
            </c:numRef>
          </c:yVal>
          <c:smooth val="0"/>
        </c:ser>
        <c:ser>
          <c:idx val="6"/>
          <c:order val="2"/>
          <c:tx>
            <c:v>Isentropic compression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 diagr. data'!$S$8:$S$108</c:f>
              <c:numCache>
                <c:ptCount val="101"/>
                <c:pt idx="0">
                  <c:v>0.8305436186256386</c:v>
                </c:pt>
                <c:pt idx="1">
                  <c:v>0.7355505341908898</c:v>
                </c:pt>
                <c:pt idx="2">
                  <c:v>0.6630260190338779</c:v>
                </c:pt>
                <c:pt idx="3">
                  <c:v>0.6055688214415523</c:v>
                </c:pt>
                <c:pt idx="4">
                  <c:v>0.558754271801934</c:v>
                </c:pt>
                <c:pt idx="5">
                  <c:v>0.5197629121803946</c:v>
                </c:pt>
                <c:pt idx="6">
                  <c:v>0.48670693781290786</c:v>
                </c:pt>
                <c:pt idx="7">
                  <c:v>0.4582712839669629</c:v>
                </c:pt>
                <c:pt idx="8">
                  <c:v>0.43350968090438</c:v>
                </c:pt>
                <c:pt idx="9">
                  <c:v>0.4117225664477541</c:v>
                </c:pt>
                <c:pt idx="10">
                  <c:v>0.392380783856201</c:v>
                </c:pt>
                <c:pt idx="11">
                  <c:v>0.37507612676973456</c:v>
                </c:pt>
                <c:pt idx="12">
                  <c:v>0.35948827571302777</c:v>
                </c:pt>
                <c:pt idx="13">
                  <c:v>0.34536209149455915</c:v>
                </c:pt>
                <c:pt idx="14">
                  <c:v>0.33249165121043633</c:v>
                </c:pt>
                <c:pt idx="15">
                  <c:v>0.3207087902372512</c:v>
                </c:pt>
                <c:pt idx="16">
                  <c:v>0.3098747258730919</c:v>
                </c:pt>
                <c:pt idx="17">
                  <c:v>0.2998738329704425</c:v>
                </c:pt>
                <c:pt idx="18">
                  <c:v>0.29060894833583373</c:v>
                </c:pt>
                <c:pt idx="19">
                  <c:v>0.2819977831101663</c:v>
                </c:pt>
                <c:pt idx="20">
                  <c:v>0.273970145979839</c:v>
                </c:pt>
                <c:pt idx="21">
                  <c:v>0.2664657712360197</c:v>
                </c:pt>
                <c:pt idx="22">
                  <c:v>0.2594326021783126</c:v>
                </c:pt>
                <c:pt idx="23">
                  <c:v>0.25282542169978073</c:v>
                </c:pt>
                <c:pt idx="24">
                  <c:v>0.24660475035857046</c:v>
                </c:pt>
                <c:pt idx="25">
                  <c:v>0.24073595256671193</c:v>
                </c:pt>
                <c:pt idx="26">
                  <c:v>0.23518850618328127</c:v>
                </c:pt>
                <c:pt idx="27">
                  <c:v>0.22993540149486708</c:v>
                </c:pt>
                <c:pt idx="28">
                  <c:v>0.2249526432297736</c:v>
                </c:pt>
                <c:pt idx="29">
                  <c:v>0.22021883674488815</c:v>
                </c:pt>
                <c:pt idx="30">
                  <c:v>0.21571483910798445</c:v>
                </c:pt>
                <c:pt idx="31">
                  <c:v>0.21142346723244115</c:v>
                </c:pt>
                <c:pt idx="32">
                  <c:v>0.20732924988339888</c:v>
                </c:pt>
                <c:pt idx="33">
                  <c:v>0.20341821674542654</c:v>
                </c:pt>
                <c:pt idx="34">
                  <c:v>0.19967771826227937</c:v>
                </c:pt>
                <c:pt idx="35">
                  <c:v>0.19609627105009828</c:v>
                </c:pt>
                <c:pt idx="36">
                  <c:v>0.19266342470708803</c:v>
                </c:pt>
                <c:pt idx="37">
                  <c:v>0.18936964662923186</c:v>
                </c:pt>
                <c:pt idx="38">
                  <c:v>0.18620622203753792</c:v>
                </c:pt>
                <c:pt idx="39">
                  <c:v>0.18316516690938797</c:v>
                </c:pt>
                <c:pt idx="40">
                  <c:v>0.18023915189987927</c:v>
                </c:pt>
                <c:pt idx="41">
                  <c:v>0.17742143565821197</c:v>
                </c:pt>
                <c:pt idx="42">
                  <c:v>0.17470580620454546</c:v>
                </c:pt>
                <c:pt idx="43">
                  <c:v>0.172086529246053</c:v>
                </c:pt>
                <c:pt idx="44">
                  <c:v>0.16955830248649764</c:v>
                </c:pt>
                <c:pt idx="45">
                  <c:v>0.16711621512879066</c:v>
                </c:pt>
                <c:pt idx="46">
                  <c:v>0.16475571189046442</c:v>
                </c:pt>
                <c:pt idx="47">
                  <c:v>0.1624725609523643</c:v>
                </c:pt>
                <c:pt idx="48">
                  <c:v>0.16026282534482106</c:v>
                </c:pt>
                <c:pt idx="49">
                  <c:v>0.15812283734604946</c:v>
                </c:pt>
                <c:pt idx="50">
                  <c:v>0.15604917552685396</c:v>
                </c:pt>
                <c:pt idx="51">
                  <c:v>0.1540386441259081</c:v>
                </c:pt>
                <c:pt idx="52">
                  <c:v>0.1520882544824044</c:v>
                </c:pt>
                <c:pt idx="53">
                  <c:v>0.15019520828902463</c:v>
                </c:pt>
                <c:pt idx="54">
                  <c:v>0.14835688245905237</c:v>
                </c:pt>
                <c:pt idx="55">
                  <c:v>0.14657081542783304</c:v>
                </c:pt>
                <c:pt idx="56">
                  <c:v>0.14483469473141122</c:v>
                </c:pt>
                <c:pt idx="57">
                  <c:v>0.1431463457246649</c:v>
                </c:pt>
                <c:pt idx="58">
                  <c:v>0.14150372131803124</c:v>
                </c:pt>
                <c:pt idx="59">
                  <c:v>0.13990489262642813</c:v>
                </c:pt>
                <c:pt idx="60">
                  <c:v>0.13834804043655613</c:v>
                </c:pt>
                <c:pt idx="61">
                  <c:v>0.136831447409681</c:v>
                </c:pt>
                <c:pt idx="62">
                  <c:v>0.13535349094650123</c:v>
                </c:pt>
                <c:pt idx="63">
                  <c:v>0.13391263664900738</c:v>
                </c:pt>
                <c:pt idx="64">
                  <c:v>0.13250743232147097</c:v>
                </c:pt>
                <c:pt idx="65">
                  <c:v>0.13113650245907296</c:v>
                </c:pt>
                <c:pt idx="66">
                  <c:v>0.12979854317823245</c:v>
                </c:pt>
                <c:pt idx="67">
                  <c:v>0.1284923175476215</c:v>
                </c:pt>
                <c:pt idx="68">
                  <c:v>0.1272166512831475</c:v>
                </c:pt>
                <c:pt idx="69">
                  <c:v>0.12597042877401682</c:v>
                </c:pt>
                <c:pt idx="70">
                  <c:v>0.12475258941035229</c:v>
                </c:pt>
                <c:pt idx="71">
                  <c:v>0.12356212418582332</c:v>
                </c:pt>
                <c:pt idx="72">
                  <c:v>0.12239807255140187</c:v>
                </c:pt>
                <c:pt idx="73">
                  <c:v>0.12125951949870946</c:v>
                </c:pt>
                <c:pt idx="74">
                  <c:v>0.12014559285351276</c:v>
                </c:pt>
                <c:pt idx="75">
                  <c:v>0.11905546076179571</c:v>
                </c:pt>
                <c:pt idx="76">
                  <c:v>0.11798832934782358</c:v>
                </c:pt>
                <c:pt idx="77">
                  <c:v>0.116943440549364</c:v>
                </c:pt>
                <c:pt idx="78">
                  <c:v>0.11592007009039113</c:v>
                </c:pt>
                <c:pt idx="79">
                  <c:v>0.11491752558346367</c:v>
                </c:pt>
                <c:pt idx="80">
                  <c:v>0.11393514477276223</c:v>
                </c:pt>
                <c:pt idx="81">
                  <c:v>0.11297229388871088</c:v>
                </c:pt>
                <c:pt idx="82">
                  <c:v>0.11202836611027635</c:v>
                </c:pt>
                <c:pt idx="83">
                  <c:v>0.11110278021320696</c:v>
                </c:pt>
                <c:pt idx="84">
                  <c:v>0.11019497887708343</c:v>
                </c:pt>
                <c:pt idx="85">
                  <c:v>0.10930442794589215</c:v>
                </c:pt>
                <c:pt idx="86">
                  <c:v>0.1084306148971772</c:v>
                </c:pt>
                <c:pt idx="87">
                  <c:v>0.10757304782052433</c:v>
                </c:pt>
                <c:pt idx="88">
                  <c:v>0.10673125437651318</c:v>
                </c:pt>
                <c:pt idx="89">
                  <c:v>0.10590478081873746</c:v>
                </c:pt>
                <c:pt idx="90">
                  <c:v>0.1050931910744498</c:v>
                </c:pt>
                <c:pt idx="91">
                  <c:v>0.10429606587974799</c:v>
                </c:pt>
                <c:pt idx="92">
                  <c:v>0.10351300196553397</c:v>
                </c:pt>
                <c:pt idx="93">
                  <c:v>0.10274361129078009</c:v>
                </c:pt>
                <c:pt idx="94">
                  <c:v>0.10198752031990939</c:v>
                </c:pt>
                <c:pt idx="95">
                  <c:v>0.1012443693413266</c:v>
                </c:pt>
                <c:pt idx="96">
                  <c:v>0.10051381182438492</c:v>
                </c:pt>
                <c:pt idx="97">
                  <c:v>0.0997955138122554</c:v>
                </c:pt>
                <c:pt idx="98">
                  <c:v>0.09908915334837469</c:v>
                </c:pt>
                <c:pt idx="99">
                  <c:v>0.09839441993430317</c:v>
                </c:pt>
                <c:pt idx="100">
                  <c:v>0.09771101401699511</c:v>
                </c:pt>
              </c:numCache>
            </c:numRef>
          </c:xVal>
          <c:yVal>
            <c:numRef>
              <c:f>'T-s diagr. data'!$R$8:$R$108</c:f>
              <c:numCache>
                <c:ptCount val="101"/>
                <c:pt idx="0">
                  <c:v>1.013</c:v>
                </c:pt>
                <c:pt idx="1">
                  <c:v>1.2007951310051839</c:v>
                </c:pt>
                <c:pt idx="2">
                  <c:v>1.3885902620103678</c:v>
                </c:pt>
                <c:pt idx="3">
                  <c:v>1.5763853930155518</c:v>
                </c:pt>
                <c:pt idx="4">
                  <c:v>1.7641805240207358</c:v>
                </c:pt>
                <c:pt idx="5">
                  <c:v>1.9519756550259197</c:v>
                </c:pt>
                <c:pt idx="6">
                  <c:v>2.1397707860311037</c:v>
                </c:pt>
                <c:pt idx="7">
                  <c:v>2.3275659170362877</c:v>
                </c:pt>
                <c:pt idx="8">
                  <c:v>2.5153610480414716</c:v>
                </c:pt>
                <c:pt idx="9">
                  <c:v>2.7031561790466556</c:v>
                </c:pt>
                <c:pt idx="10">
                  <c:v>2.8909513100518396</c:v>
                </c:pt>
                <c:pt idx="11">
                  <c:v>3.0787464410570236</c:v>
                </c:pt>
                <c:pt idx="12">
                  <c:v>3.2665415720622075</c:v>
                </c:pt>
                <c:pt idx="13">
                  <c:v>3.4543367030673915</c:v>
                </c:pt>
                <c:pt idx="14">
                  <c:v>3.6421318340725755</c:v>
                </c:pt>
                <c:pt idx="15">
                  <c:v>3.8299269650777594</c:v>
                </c:pt>
                <c:pt idx="16">
                  <c:v>4.017722096082943</c:v>
                </c:pt>
                <c:pt idx="17">
                  <c:v>4.205517227088127</c:v>
                </c:pt>
                <c:pt idx="18">
                  <c:v>4.393312358093311</c:v>
                </c:pt>
                <c:pt idx="19">
                  <c:v>4.581107489098495</c:v>
                </c:pt>
                <c:pt idx="20">
                  <c:v>4.768902620103679</c:v>
                </c:pt>
                <c:pt idx="21">
                  <c:v>4.956697751108863</c:v>
                </c:pt>
                <c:pt idx="22">
                  <c:v>5.144492882114047</c:v>
                </c:pt>
                <c:pt idx="23">
                  <c:v>5.332288013119231</c:v>
                </c:pt>
                <c:pt idx="24">
                  <c:v>5.520083144124415</c:v>
                </c:pt>
                <c:pt idx="25">
                  <c:v>5.707878275129599</c:v>
                </c:pt>
                <c:pt idx="26">
                  <c:v>5.895673406134783</c:v>
                </c:pt>
                <c:pt idx="27">
                  <c:v>6.083468537139967</c:v>
                </c:pt>
                <c:pt idx="28">
                  <c:v>6.271263668145151</c:v>
                </c:pt>
                <c:pt idx="29">
                  <c:v>6.459058799150335</c:v>
                </c:pt>
                <c:pt idx="30">
                  <c:v>6.646853930155519</c:v>
                </c:pt>
                <c:pt idx="31">
                  <c:v>6.834649061160703</c:v>
                </c:pt>
                <c:pt idx="32">
                  <c:v>7.022444192165887</c:v>
                </c:pt>
                <c:pt idx="33">
                  <c:v>7.210239323171071</c:v>
                </c:pt>
                <c:pt idx="34">
                  <c:v>7.398034454176255</c:v>
                </c:pt>
                <c:pt idx="35">
                  <c:v>7.585829585181439</c:v>
                </c:pt>
                <c:pt idx="36">
                  <c:v>7.773624716186623</c:v>
                </c:pt>
                <c:pt idx="37">
                  <c:v>7.961419847191807</c:v>
                </c:pt>
                <c:pt idx="38">
                  <c:v>8.14921497819699</c:v>
                </c:pt>
                <c:pt idx="39">
                  <c:v>8.337010109202176</c:v>
                </c:pt>
                <c:pt idx="40">
                  <c:v>8.52480524020736</c:v>
                </c:pt>
                <c:pt idx="41">
                  <c:v>8.712600371212545</c:v>
                </c:pt>
                <c:pt idx="42">
                  <c:v>8.90039550221773</c:v>
                </c:pt>
                <c:pt idx="43">
                  <c:v>9.088190633222915</c:v>
                </c:pt>
                <c:pt idx="44">
                  <c:v>9.2759857642281</c:v>
                </c:pt>
                <c:pt idx="45">
                  <c:v>9.463780895233285</c:v>
                </c:pt>
                <c:pt idx="46">
                  <c:v>9.65157602623847</c:v>
                </c:pt>
                <c:pt idx="47">
                  <c:v>9.839371157243654</c:v>
                </c:pt>
                <c:pt idx="48">
                  <c:v>10.02716628824884</c:v>
                </c:pt>
                <c:pt idx="49">
                  <c:v>10.214961419254024</c:v>
                </c:pt>
                <c:pt idx="50">
                  <c:v>10.402756550259209</c:v>
                </c:pt>
                <c:pt idx="51">
                  <c:v>10.590551681264394</c:v>
                </c:pt>
                <c:pt idx="52">
                  <c:v>10.778346812269579</c:v>
                </c:pt>
                <c:pt idx="53">
                  <c:v>10.966141943274764</c:v>
                </c:pt>
                <c:pt idx="54">
                  <c:v>11.153937074279948</c:v>
                </c:pt>
                <c:pt idx="55">
                  <c:v>11.341732205285133</c:v>
                </c:pt>
                <c:pt idx="56">
                  <c:v>11.529527336290318</c:v>
                </c:pt>
                <c:pt idx="57">
                  <c:v>11.717322467295503</c:v>
                </c:pt>
                <c:pt idx="58">
                  <c:v>11.905117598300688</c:v>
                </c:pt>
                <c:pt idx="59">
                  <c:v>12.092912729305873</c:v>
                </c:pt>
                <c:pt idx="60">
                  <c:v>12.280707860311058</c:v>
                </c:pt>
                <c:pt idx="61">
                  <c:v>12.468502991316242</c:v>
                </c:pt>
                <c:pt idx="62">
                  <c:v>12.656298122321427</c:v>
                </c:pt>
                <c:pt idx="63">
                  <c:v>12.844093253326612</c:v>
                </c:pt>
                <c:pt idx="64">
                  <c:v>13.031888384331797</c:v>
                </c:pt>
                <c:pt idx="65">
                  <c:v>13.219683515336982</c:v>
                </c:pt>
                <c:pt idx="66">
                  <c:v>13.407478646342167</c:v>
                </c:pt>
                <c:pt idx="67">
                  <c:v>13.595273777347352</c:v>
                </c:pt>
                <c:pt idx="68">
                  <c:v>13.783068908352536</c:v>
                </c:pt>
                <c:pt idx="69">
                  <c:v>13.970864039357721</c:v>
                </c:pt>
                <c:pt idx="70">
                  <c:v>14.158659170362906</c:v>
                </c:pt>
                <c:pt idx="71">
                  <c:v>14.346454301368091</c:v>
                </c:pt>
                <c:pt idx="72">
                  <c:v>14.534249432373276</c:v>
                </c:pt>
                <c:pt idx="73">
                  <c:v>14.72204456337846</c:v>
                </c:pt>
                <c:pt idx="74">
                  <c:v>14.909839694383646</c:v>
                </c:pt>
                <c:pt idx="75">
                  <c:v>15.09763482538883</c:v>
                </c:pt>
                <c:pt idx="76">
                  <c:v>15.285429956394015</c:v>
                </c:pt>
                <c:pt idx="77">
                  <c:v>15.4732250873992</c:v>
                </c:pt>
                <c:pt idx="78">
                  <c:v>15.661020218404385</c:v>
                </c:pt>
                <c:pt idx="79">
                  <c:v>15.84881534940957</c:v>
                </c:pt>
                <c:pt idx="80">
                  <c:v>16.036610480414755</c:v>
                </c:pt>
                <c:pt idx="81">
                  <c:v>16.22440561141994</c:v>
                </c:pt>
                <c:pt idx="82">
                  <c:v>16.412200742425124</c:v>
                </c:pt>
                <c:pt idx="83">
                  <c:v>16.59999587343031</c:v>
                </c:pt>
                <c:pt idx="84">
                  <c:v>16.787791004435494</c:v>
                </c:pt>
                <c:pt idx="85">
                  <c:v>16.97558613544068</c:v>
                </c:pt>
                <c:pt idx="86">
                  <c:v>17.163381266445864</c:v>
                </c:pt>
                <c:pt idx="87">
                  <c:v>17.35117639745105</c:v>
                </c:pt>
                <c:pt idx="88">
                  <c:v>17.538971528456234</c:v>
                </c:pt>
                <c:pt idx="89">
                  <c:v>17.72676665946142</c:v>
                </c:pt>
                <c:pt idx="90">
                  <c:v>17.914561790466603</c:v>
                </c:pt>
                <c:pt idx="91">
                  <c:v>18.102356921471788</c:v>
                </c:pt>
                <c:pt idx="92">
                  <c:v>18.290152052476973</c:v>
                </c:pt>
                <c:pt idx="93">
                  <c:v>18.477947183482158</c:v>
                </c:pt>
                <c:pt idx="94">
                  <c:v>18.665742314487343</c:v>
                </c:pt>
                <c:pt idx="95">
                  <c:v>18.853537445492528</c:v>
                </c:pt>
                <c:pt idx="96">
                  <c:v>19.041332576497712</c:v>
                </c:pt>
                <c:pt idx="97">
                  <c:v>19.229127707502897</c:v>
                </c:pt>
                <c:pt idx="98">
                  <c:v>19.416922838508082</c:v>
                </c:pt>
                <c:pt idx="99">
                  <c:v>19.604717969513267</c:v>
                </c:pt>
                <c:pt idx="100">
                  <c:v>19.792513100518452</c:v>
                </c:pt>
              </c:numCache>
            </c:numRef>
          </c:yVal>
          <c:smooth val="0"/>
        </c:ser>
        <c:ser>
          <c:idx val="0"/>
          <c:order val="3"/>
          <c:tx>
            <c:v>Isochoic heating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('simple Otto Cycle'!$F$32,'simple Otto Cycle'!$F$41)</c:f>
              <c:numCache/>
            </c:numRef>
          </c:xVal>
          <c:yVal>
            <c:numRef>
              <c:f>('simple Otto Cycle'!$B$32,'simple Otto Cycle'!$B$41)</c:f>
              <c:numCache/>
            </c:numRef>
          </c:yVal>
          <c:smooth val="0"/>
        </c:ser>
        <c:ser>
          <c:idx val="9"/>
          <c:order val="4"/>
          <c:tx>
            <c:v>Isentropic expansion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 diagr. data'!$W$8:$W$108</c:f>
              <c:numCache>
                <c:ptCount val="101"/>
                <c:pt idx="0">
                  <c:v>0.09771101401149097</c:v>
                </c:pt>
                <c:pt idx="1">
                  <c:v>0.09842472122647011</c:v>
                </c:pt>
                <c:pt idx="2">
                  <c:v>0.0991504714341882</c:v>
                </c:pt>
                <c:pt idx="3">
                  <c:v>0.09988858564494077</c:v>
                </c:pt>
                <c:pt idx="4">
                  <c:v>0.10063939663054026</c:v>
                </c:pt>
                <c:pt idx="5">
                  <c:v>0.10140324947506088</c:v>
                </c:pt>
                <c:pt idx="6">
                  <c:v>0.10218050218298513</c:v>
                </c:pt>
                <c:pt idx="7">
                  <c:v>0.10297152619182352</c:v>
                </c:pt>
                <c:pt idx="8">
                  <c:v>0.10377670717853106</c:v>
                </c:pt>
                <c:pt idx="9">
                  <c:v>0.10459644564703928</c:v>
                </c:pt>
                <c:pt idx="10">
                  <c:v>0.10543115768533437</c:v>
                </c:pt>
                <c:pt idx="11">
                  <c:v>0.1062812757409433</c:v>
                </c:pt>
                <c:pt idx="12">
                  <c:v>0.10714724944632283</c:v>
                </c:pt>
                <c:pt idx="13">
                  <c:v>0.10802954648537018</c:v>
                </c:pt>
                <c:pt idx="14">
                  <c:v>0.10892865352552446</c:v>
                </c:pt>
                <c:pt idx="15">
                  <c:v>0.10984507720394589</c:v>
                </c:pt>
                <c:pt idx="16">
                  <c:v>0.11077934517510929</c:v>
                </c:pt>
                <c:pt idx="17">
                  <c:v>0.11173200722661457</c:v>
                </c:pt>
                <c:pt idx="18">
                  <c:v>0.11270363646748582</c:v>
                </c:pt>
                <c:pt idx="19">
                  <c:v>0.11369483059454508</c:v>
                </c:pt>
                <c:pt idx="20">
                  <c:v>0.11470621324295374</c:v>
                </c:pt>
                <c:pt idx="21">
                  <c:v>0.11573843542756262</c:v>
                </c:pt>
                <c:pt idx="22">
                  <c:v>0.11679217708231962</c:v>
                </c:pt>
                <c:pt idx="23">
                  <c:v>0.1178681487056615</c:v>
                </c:pt>
                <c:pt idx="24">
                  <c:v>0.11896709312055334</c:v>
                </c:pt>
                <c:pt idx="25">
                  <c:v>0.12008978735866833</c:v>
                </c:pt>
                <c:pt idx="26">
                  <c:v>0.12123704467910956</c:v>
                </c:pt>
                <c:pt idx="27">
                  <c:v>0.122409716733095</c:v>
                </c:pt>
                <c:pt idx="28">
                  <c:v>0.12360869588714159</c:v>
                </c:pt>
                <c:pt idx="29">
                  <c:v>0.12483491771855446</c:v>
                </c:pt>
                <c:pt idx="30">
                  <c:v>0.12608936369840743</c:v>
                </c:pt>
                <c:pt idx="31">
                  <c:v>0.12737306407876972</c:v>
                </c:pt>
                <c:pt idx="32">
                  <c:v>0.1286871010026717</c:v>
                </c:pt>
                <c:pt idx="33">
                  <c:v>0.13003261185725232</c:v>
                </c:pt>
                <c:pt idx="34">
                  <c:v>0.1314107928927101</c:v>
                </c:pt>
                <c:pt idx="35">
                  <c:v>0.1328229031321343</c:v>
                </c:pt>
                <c:pt idx="36">
                  <c:v>0.13427026860004646</c:v>
                </c:pt>
                <c:pt idx="37">
                  <c:v>0.1357542869005787</c:v>
                </c:pt>
                <c:pt idx="38">
                  <c:v>0.137276432179718</c:v>
                </c:pt>
                <c:pt idx="39">
                  <c:v>0.13883826050998693</c:v>
                </c:pt>
                <c:pt idx="40">
                  <c:v>0.14044141574040628</c:v>
                </c:pt>
                <c:pt idx="41">
                  <c:v>0.14208763585964368</c:v>
                </c:pt>
                <c:pt idx="42">
                  <c:v>0.14377875992600547</c:v>
                </c:pt>
                <c:pt idx="43">
                  <c:v>0.1455167356244698</c:v>
                </c:pt>
                <c:pt idx="44">
                  <c:v>0.14730362751841705</c:v>
                </c:pt>
                <c:pt idx="45">
                  <c:v>0.1491416260722284</c:v>
                </c:pt>
                <c:pt idx="46">
                  <c:v>0.15103305753066762</c:v>
                </c:pt>
                <c:pt idx="47">
                  <c:v>0.15298039475214814</c:v>
                </c:pt>
                <c:pt idx="48">
                  <c:v>0.15498626910582416</c:v>
                </c:pt>
                <c:pt idx="49">
                  <c:v>0.15705348355725374</c:v>
                </c:pt>
                <c:pt idx="50">
                  <c:v>0.15918502708446805</c:v>
                </c:pt>
                <c:pt idx="51">
                  <c:v>0.16138409058606493</c:v>
                </c:pt>
                <c:pt idx="52">
                  <c:v>0.16365408446589103</c:v>
                </c:pt>
                <c:pt idx="53">
                  <c:v>0.1659986581055929</c:v>
                </c:pt>
                <c:pt idx="54">
                  <c:v>0.16842172146744291</c:v>
                </c:pt>
                <c:pt idx="55">
                  <c:v>0.17092746910629428</c:v>
                </c:pt>
                <c:pt idx="56">
                  <c:v>0.17352040691224413</c:v>
                </c:pt>
                <c:pt idx="57">
                  <c:v>0.1762053819558618</c:v>
                </c:pt>
                <c:pt idx="58">
                  <c:v>0.1789876158671734</c:v>
                </c:pt>
                <c:pt idx="59">
                  <c:v>0.18187274224984107</c:v>
                </c:pt>
                <c:pt idx="60">
                  <c:v>0.18486684871542036</c:v>
                </c:pt>
                <c:pt idx="61">
                  <c:v>0.18797652422204694</c:v>
                </c:pt>
                <c:pt idx="62">
                  <c:v>0.19120891252089597</c:v>
                </c:pt>
                <c:pt idx="63">
                  <c:v>0.19457177265665357</c:v>
                </c:pt>
                <c:pt idx="64">
                  <c:v>0.19807354764049023</c:v>
                </c:pt>
                <c:pt idx="65">
                  <c:v>0.20172344262255928</c:v>
                </c:pt>
                <c:pt idx="66">
                  <c:v>0.2055315141445146</c:v>
                </c:pt>
                <c:pt idx="67">
                  <c:v>0.20950877236210627</c:v>
                </c:pt>
                <c:pt idx="68">
                  <c:v>0.21366729850766183</c:v>
                </c:pt>
                <c:pt idx="69">
                  <c:v>0.21802038026097795</c:v>
                </c:pt>
                <c:pt idx="70">
                  <c:v>0.2225826687620523</c:v>
                </c:pt>
                <c:pt idx="71">
                  <c:v>0.22737036027369845</c:v>
                </c:pt>
                <c:pt idx="72">
                  <c:v>0.23240140881284832</c:v>
                </c:pt>
                <c:pt idx="73">
                  <c:v>0.23769577479974682</c:v>
                </c:pt>
                <c:pt idx="74">
                  <c:v>0.24327571774295845</c:v>
                </c:pt>
                <c:pt idx="75">
                  <c:v>0.2491661421558093</c:v>
                </c:pt>
                <c:pt idx="76">
                  <c:v>0.25539500857897673</c:v>
                </c:pt>
                <c:pt idx="77">
                  <c:v>0.261993824526856</c:v>
                </c:pt>
                <c:pt idx="78">
                  <c:v>0.26899823424187136</c:v>
                </c:pt>
                <c:pt idx="79">
                  <c:v>0.27644873145285576</c:v>
                </c:pt>
                <c:pt idx="80">
                  <c:v>0.2843915263894684</c:v>
                </c:pt>
                <c:pt idx="81">
                  <c:v>0.29287960777881733</c:v>
                </c:pt>
                <c:pt idx="82">
                  <c:v>0.30197405339989114</c:v>
                </c:pt>
                <c:pt idx="83">
                  <c:v>0.3117456603930004</c:v>
                </c:pt>
                <c:pt idx="84">
                  <c:v>0.3222769909779175</c:v>
                </c:pt>
                <c:pt idx="85">
                  <c:v>0.3336649636173937</c:v>
                </c:pt>
                <c:pt idx="86">
                  <c:v>0.34602416868093333</c:v>
                </c:pt>
                <c:pt idx="87">
                  <c:v>0.35949115861499026</c:v>
                </c:pt>
                <c:pt idx="88">
                  <c:v>0.37423006703746997</c:v>
                </c:pt>
                <c:pt idx="89">
                  <c:v>0.39044006763605643</c:v>
                </c:pt>
                <c:pt idx="90">
                  <c:v>0.40836542292842937</c:v>
                </c:pt>
                <c:pt idx="91">
                  <c:v>0.4283092467146184</c:v>
                </c:pt>
                <c:pt idx="92">
                  <c:v>0.45065270264267887</c:v>
                </c:pt>
                <c:pt idx="93">
                  <c:v>0.4758823465774342</c:v>
                </c:pt>
                <c:pt idx="94">
                  <c:v>0.5046299930454907</c:v>
                </c:pt>
                <c:pt idx="95">
                  <c:v>0.5377324267287926</c:v>
                </c:pt>
                <c:pt idx="96">
                  <c:v>0.576323662358995</c:v>
                </c:pt>
                <c:pt idx="97">
                  <c:v>0.6219827777547033</c:v>
                </c:pt>
                <c:pt idx="98">
                  <c:v>0.6769812508984068</c:v>
                </c:pt>
                <c:pt idx="99">
                  <c:v>0.7447189338023859</c:v>
                </c:pt>
                <c:pt idx="100">
                  <c:v>0.8305436191444628</c:v>
                </c:pt>
              </c:numCache>
            </c:numRef>
          </c:xVal>
          <c:yVal>
            <c:numRef>
              <c:f>'T-s diagr. data'!$V$8:$V$108</c:f>
              <c:numCache>
                <c:ptCount val="101"/>
                <c:pt idx="0">
                  <c:v>58.744669964182165</c:v>
                </c:pt>
                <c:pt idx="1">
                  <c:v>58.192486497829705</c:v>
                </c:pt>
                <c:pt idx="2">
                  <c:v>57.640303031477245</c:v>
                </c:pt>
                <c:pt idx="3">
                  <c:v>57.088119565124785</c:v>
                </c:pt>
                <c:pt idx="4">
                  <c:v>56.535936098772325</c:v>
                </c:pt>
                <c:pt idx="5">
                  <c:v>55.983752632419865</c:v>
                </c:pt>
                <c:pt idx="6">
                  <c:v>55.431569166067405</c:v>
                </c:pt>
                <c:pt idx="7">
                  <c:v>54.879385699714945</c:v>
                </c:pt>
                <c:pt idx="8">
                  <c:v>54.327202233362485</c:v>
                </c:pt>
                <c:pt idx="9">
                  <c:v>53.775018767010025</c:v>
                </c:pt>
                <c:pt idx="10">
                  <c:v>53.222835300657565</c:v>
                </c:pt>
                <c:pt idx="11">
                  <c:v>52.670651834305104</c:v>
                </c:pt>
                <c:pt idx="12">
                  <c:v>52.118468367952644</c:v>
                </c:pt>
                <c:pt idx="13">
                  <c:v>51.566284901600184</c:v>
                </c:pt>
                <c:pt idx="14">
                  <c:v>51.014101435247724</c:v>
                </c:pt>
                <c:pt idx="15">
                  <c:v>50.461917968895264</c:v>
                </c:pt>
                <c:pt idx="16">
                  <c:v>49.909734502542804</c:v>
                </c:pt>
                <c:pt idx="17">
                  <c:v>49.357551036190344</c:v>
                </c:pt>
                <c:pt idx="18">
                  <c:v>48.805367569837884</c:v>
                </c:pt>
                <c:pt idx="19">
                  <c:v>48.253184103485424</c:v>
                </c:pt>
                <c:pt idx="20">
                  <c:v>47.701000637132964</c:v>
                </c:pt>
                <c:pt idx="21">
                  <c:v>47.148817170780504</c:v>
                </c:pt>
                <c:pt idx="22">
                  <c:v>46.596633704428044</c:v>
                </c:pt>
                <c:pt idx="23">
                  <c:v>46.044450238075584</c:v>
                </c:pt>
                <c:pt idx="24">
                  <c:v>45.49226677172312</c:v>
                </c:pt>
                <c:pt idx="25">
                  <c:v>44.94008330537066</c:v>
                </c:pt>
                <c:pt idx="26">
                  <c:v>44.3878998390182</c:v>
                </c:pt>
                <c:pt idx="27">
                  <c:v>43.83571637266574</c:v>
                </c:pt>
                <c:pt idx="28">
                  <c:v>43.28353290631328</c:v>
                </c:pt>
                <c:pt idx="29">
                  <c:v>42.73134943996082</c:v>
                </c:pt>
                <c:pt idx="30">
                  <c:v>42.17916597360836</c:v>
                </c:pt>
                <c:pt idx="31">
                  <c:v>41.6269825072559</c:v>
                </c:pt>
                <c:pt idx="32">
                  <c:v>41.07479904090344</c:v>
                </c:pt>
                <c:pt idx="33">
                  <c:v>40.52261557455098</c:v>
                </c:pt>
                <c:pt idx="34">
                  <c:v>39.97043210819852</c:v>
                </c:pt>
                <c:pt idx="35">
                  <c:v>39.41824864184606</c:v>
                </c:pt>
                <c:pt idx="36">
                  <c:v>38.8660651754936</c:v>
                </c:pt>
                <c:pt idx="37">
                  <c:v>38.31388170914114</c:v>
                </c:pt>
                <c:pt idx="38">
                  <c:v>37.76169824278868</c:v>
                </c:pt>
                <c:pt idx="39">
                  <c:v>37.20951477643622</c:v>
                </c:pt>
                <c:pt idx="40">
                  <c:v>36.65733131008376</c:v>
                </c:pt>
                <c:pt idx="41">
                  <c:v>36.1051478437313</c:v>
                </c:pt>
                <c:pt idx="42">
                  <c:v>35.55296437737884</c:v>
                </c:pt>
                <c:pt idx="43">
                  <c:v>35.00078091102638</c:v>
                </c:pt>
                <c:pt idx="44">
                  <c:v>34.44859744467392</c:v>
                </c:pt>
                <c:pt idx="45">
                  <c:v>33.89641397832146</c:v>
                </c:pt>
                <c:pt idx="46">
                  <c:v>33.344230511969</c:v>
                </c:pt>
                <c:pt idx="47">
                  <c:v>32.79204704561654</c:v>
                </c:pt>
                <c:pt idx="48">
                  <c:v>32.23986357926408</c:v>
                </c:pt>
                <c:pt idx="49">
                  <c:v>31.687680112911625</c:v>
                </c:pt>
                <c:pt idx="50">
                  <c:v>31.13549664655917</c:v>
                </c:pt>
                <c:pt idx="51">
                  <c:v>30.583313180206712</c:v>
                </c:pt>
                <c:pt idx="52">
                  <c:v>30.031129713854256</c:v>
                </c:pt>
                <c:pt idx="53">
                  <c:v>29.4789462475018</c:v>
                </c:pt>
                <c:pt idx="54">
                  <c:v>28.926762781149343</c:v>
                </c:pt>
                <c:pt idx="55">
                  <c:v>28.374579314796886</c:v>
                </c:pt>
                <c:pt idx="56">
                  <c:v>27.82239584844443</c:v>
                </c:pt>
                <c:pt idx="57">
                  <c:v>27.270212382091973</c:v>
                </c:pt>
                <c:pt idx="58">
                  <c:v>26.718028915739517</c:v>
                </c:pt>
                <c:pt idx="59">
                  <c:v>26.16584544938706</c:v>
                </c:pt>
                <c:pt idx="60">
                  <c:v>25.613661983034604</c:v>
                </c:pt>
                <c:pt idx="61">
                  <c:v>25.061478516682147</c:v>
                </c:pt>
                <c:pt idx="62">
                  <c:v>24.50929505032969</c:v>
                </c:pt>
                <c:pt idx="63">
                  <c:v>23.957111583977234</c:v>
                </c:pt>
                <c:pt idx="64">
                  <c:v>23.404928117624777</c:v>
                </c:pt>
                <c:pt idx="65">
                  <c:v>22.85274465127232</c:v>
                </c:pt>
                <c:pt idx="66">
                  <c:v>22.300561184919864</c:v>
                </c:pt>
                <c:pt idx="67">
                  <c:v>21.748377718567408</c:v>
                </c:pt>
                <c:pt idx="68">
                  <c:v>21.19619425221495</c:v>
                </c:pt>
                <c:pt idx="69">
                  <c:v>20.644010785862495</c:v>
                </c:pt>
                <c:pt idx="70">
                  <c:v>20.09182731951004</c:v>
                </c:pt>
                <c:pt idx="71">
                  <c:v>19.539643853157582</c:v>
                </c:pt>
                <c:pt idx="72">
                  <c:v>18.987460386805125</c:v>
                </c:pt>
                <c:pt idx="73">
                  <c:v>18.43527692045267</c:v>
                </c:pt>
                <c:pt idx="74">
                  <c:v>17.883093454100212</c:v>
                </c:pt>
                <c:pt idx="75">
                  <c:v>17.330909987747756</c:v>
                </c:pt>
                <c:pt idx="76">
                  <c:v>16.7787265213953</c:v>
                </c:pt>
                <c:pt idx="77">
                  <c:v>16.226543055042843</c:v>
                </c:pt>
                <c:pt idx="78">
                  <c:v>15.674359588690386</c:v>
                </c:pt>
                <c:pt idx="79">
                  <c:v>15.12217612233793</c:v>
                </c:pt>
                <c:pt idx="80">
                  <c:v>14.569992655985473</c:v>
                </c:pt>
                <c:pt idx="81">
                  <c:v>14.017809189633017</c:v>
                </c:pt>
                <c:pt idx="82">
                  <c:v>13.46562572328056</c:v>
                </c:pt>
                <c:pt idx="83">
                  <c:v>12.913442256928104</c:v>
                </c:pt>
                <c:pt idx="84">
                  <c:v>12.361258790575647</c:v>
                </c:pt>
                <c:pt idx="85">
                  <c:v>11.80907532422319</c:v>
                </c:pt>
                <c:pt idx="86">
                  <c:v>11.256891857870734</c:v>
                </c:pt>
                <c:pt idx="87">
                  <c:v>10.704708391518277</c:v>
                </c:pt>
                <c:pt idx="88">
                  <c:v>10.152524925165821</c:v>
                </c:pt>
                <c:pt idx="89">
                  <c:v>9.600341458813364</c:v>
                </c:pt>
                <c:pt idx="90">
                  <c:v>9.048157992460908</c:v>
                </c:pt>
                <c:pt idx="91">
                  <c:v>8.495974526108451</c:v>
                </c:pt>
                <c:pt idx="92">
                  <c:v>7.943791059755995</c:v>
                </c:pt>
                <c:pt idx="93">
                  <c:v>7.391607593403538</c:v>
                </c:pt>
                <c:pt idx="94">
                  <c:v>6.839424127051082</c:v>
                </c:pt>
                <c:pt idx="95">
                  <c:v>6.287240660698625</c:v>
                </c:pt>
                <c:pt idx="96">
                  <c:v>5.735057194346169</c:v>
                </c:pt>
                <c:pt idx="97">
                  <c:v>5.182873727993712</c:v>
                </c:pt>
                <c:pt idx="98">
                  <c:v>4.630690261641256</c:v>
                </c:pt>
                <c:pt idx="99">
                  <c:v>4.078506795288799</c:v>
                </c:pt>
                <c:pt idx="100">
                  <c:v>3.5263233289363427</c:v>
                </c:pt>
              </c:numCache>
            </c:numRef>
          </c:yVal>
          <c:smooth val="0"/>
        </c:ser>
        <c:ser>
          <c:idx val="1"/>
          <c:order val="5"/>
          <c:tx>
            <c:v>Isochoric cooling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('simple Otto Cycle'!$F$30,'simple Otto Cycle'!$F$49,'simple Otto Cycle'!$F$49,'simple Otto Cycle'!$F$50)</c:f>
              <c:numCache/>
            </c:numRef>
          </c:xVal>
          <c:yVal>
            <c:numRef>
              <c:f>('simple Otto Cycle'!$B$30,'simple Otto Cycle'!$B$50)</c:f>
              <c:numCache/>
            </c:numRef>
          </c:yVal>
          <c:smooth val="0"/>
        </c:ser>
        <c:ser>
          <c:idx val="2"/>
          <c:order val="6"/>
          <c:tx>
            <c:v>State 2 (GM)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'simple Otto Cycle'!$F$30</c:f>
              <c:numCache/>
            </c:numRef>
          </c:xVal>
          <c:yVal>
            <c:numRef>
              <c:f>'simple Otto Cycle'!$B$30</c:f>
              <c:numCache/>
            </c:numRef>
          </c:yVal>
          <c:smooth val="0"/>
        </c:ser>
        <c:ser>
          <c:idx val="3"/>
          <c:order val="7"/>
          <c:tx>
            <c:v>State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'simple Otto Cycle'!$F$31</c:f>
              <c:numCache/>
            </c:numRef>
          </c:xVal>
          <c:yVal>
            <c:numRef>
              <c:f>'simple Otto Cycle'!$B$31</c:f>
              <c:numCache/>
            </c:numRef>
          </c:yVal>
          <c:smooth val="0"/>
        </c:ser>
        <c:ser>
          <c:idx val="4"/>
          <c:order val="8"/>
          <c:tx>
            <c:v>State 3 GM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'simple Otto Cycle'!$F$32</c:f>
              <c:numCache/>
            </c:numRef>
          </c:xVal>
          <c:yVal>
            <c:numRef>
              <c:f>'simple Otto Cycle'!$B$32</c:f>
              <c:numCache/>
            </c:numRef>
          </c:yVal>
          <c:smooth val="0"/>
        </c:ser>
        <c:ser>
          <c:idx val="5"/>
          <c:order val="9"/>
          <c:tx>
            <c:v>State 4 (GM)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'simple Otto Cycle'!$F$41</c:f>
              <c:numCache/>
            </c:numRef>
          </c:xVal>
          <c:yVal>
            <c:numRef>
              <c:f>'simple Otto Cycle'!$B$41</c:f>
              <c:numCache/>
            </c:numRef>
          </c:yVal>
          <c:smooth val="0"/>
        </c:ser>
        <c:ser>
          <c:idx val="14"/>
          <c:order val="10"/>
          <c:tx>
            <c:v>State 5</c:v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'simple Otto Cycle'!$F$49</c:f>
              <c:numCache/>
            </c:numRef>
          </c:xVal>
          <c:yVal>
            <c:numRef>
              <c:f>'simple Otto Cycle'!$B$49</c:f>
              <c:numCache/>
            </c:numRef>
          </c:yVal>
          <c:smooth val="0"/>
        </c:ser>
        <c:ser>
          <c:idx val="7"/>
          <c:order val="11"/>
          <c:tx>
            <c:v>State 5 GM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'simple Otto Cycle'!$F$50</c:f>
              <c:numCache/>
            </c:numRef>
          </c:xVal>
          <c:yVal>
            <c:numRef>
              <c:f>'simple Otto Cycle'!$B$50</c:f>
              <c:numCache/>
            </c:numRef>
          </c:yVal>
          <c:smooth val="0"/>
        </c:ser>
        <c:axId val="4017778"/>
        <c:axId val="62653395"/>
      </c:scatterChart>
      <c:valAx>
        <c:axId val="401777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v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[m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/kg]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653395"/>
        <c:crossesAt val="0.1"/>
        <c:crossBetween val="midCat"/>
        <c:dispUnits/>
      </c:valAx>
      <c:valAx>
        <c:axId val="62653395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[bar]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17778"/>
        <c:crosses val="autoZero"/>
        <c:crossBetween val="midCat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0.1215</cdr:y>
    </cdr:from>
    <cdr:to>
      <cdr:x>0.95275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 rot="17507709">
          <a:off x="5505450" y="581025"/>
          <a:ext cx="9715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2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= v</a:t>
          </a:r>
          <a:r>
            <a:rPr lang="en-US" cap="none" sz="12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0.6315</cdr:x>
      <cdr:y>0.11775</cdr:y>
    </cdr:from>
    <cdr:to>
      <cdr:x>0.7665</cdr:x>
      <cdr:y>0.23475</cdr:y>
    </cdr:to>
    <cdr:sp>
      <cdr:nvSpPr>
        <cdr:cNvPr id="2" name="TextBox 1"/>
        <cdr:cNvSpPr txBox="1">
          <a:spLocks noChangeArrowheads="1"/>
        </cdr:cNvSpPr>
      </cdr:nvSpPr>
      <cdr:spPr>
        <a:xfrm rot="17342329">
          <a:off x="4295775" y="561975"/>
          <a:ext cx="9239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2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= v</a:t>
          </a:r>
          <a:r>
            <a:rPr lang="en-US" cap="none" sz="12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0.304</cdr:x>
      <cdr:y>0.6265</cdr:y>
    </cdr:from>
    <cdr:to>
      <cdr:x>0.34275</cdr:x>
      <cdr:y>0.68425</cdr:y>
    </cdr:to>
    <cdr:sp>
      <cdr:nvSpPr>
        <cdr:cNvPr id="3" name="TextBox 2"/>
        <cdr:cNvSpPr txBox="1">
          <a:spLocks noChangeArrowheads="1"/>
        </cdr:cNvSpPr>
      </cdr:nvSpPr>
      <cdr:spPr>
        <a:xfrm>
          <a:off x="2066925" y="3000375"/>
          <a:ext cx="266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3</a:t>
          </a:r>
        </a:p>
      </cdr:txBody>
    </cdr:sp>
  </cdr:relSizeAnchor>
  <cdr:relSizeAnchor xmlns:cdr="http://schemas.openxmlformats.org/drawingml/2006/chartDrawing">
    <cdr:from>
      <cdr:x>0.3015</cdr:x>
      <cdr:y>0.588</cdr:y>
    </cdr:from>
    <cdr:to>
      <cdr:x>0.39025</cdr:x>
      <cdr:y>0.64725</cdr:y>
    </cdr:to>
    <cdr:sp>
      <cdr:nvSpPr>
        <cdr:cNvPr id="4" name="TextBox 2"/>
        <cdr:cNvSpPr txBox="1">
          <a:spLocks noChangeArrowheads="1"/>
        </cdr:cNvSpPr>
      </cdr:nvSpPr>
      <cdr:spPr>
        <a:xfrm>
          <a:off x="2047875" y="2819400"/>
          <a:ext cx="600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 GM</a:t>
          </a:r>
        </a:p>
      </cdr:txBody>
    </cdr:sp>
  </cdr:relSizeAnchor>
  <cdr:relSizeAnchor xmlns:cdr="http://schemas.openxmlformats.org/drawingml/2006/chartDrawing">
    <cdr:from>
      <cdr:x>0.571</cdr:x>
      <cdr:y>0.18</cdr:y>
    </cdr:from>
    <cdr:to>
      <cdr:x>0.67525</cdr:x>
      <cdr:y>0.23925</cdr:y>
    </cdr:to>
    <cdr:sp>
      <cdr:nvSpPr>
        <cdr:cNvPr id="5" name="TextBox 2"/>
        <cdr:cNvSpPr txBox="1">
          <a:spLocks noChangeArrowheads="1"/>
        </cdr:cNvSpPr>
      </cdr:nvSpPr>
      <cdr:spPr>
        <a:xfrm>
          <a:off x="3886200" y="857250"/>
          <a:ext cx="714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 (GM)</a:t>
          </a:r>
        </a:p>
      </cdr:txBody>
    </cdr:sp>
  </cdr:relSizeAnchor>
  <cdr:relSizeAnchor xmlns:cdr="http://schemas.openxmlformats.org/drawingml/2006/chartDrawing">
    <cdr:from>
      <cdr:x>0.633</cdr:x>
      <cdr:y>0.51725</cdr:y>
    </cdr:from>
    <cdr:to>
      <cdr:x>0.7175</cdr:x>
      <cdr:y>0.57575</cdr:y>
    </cdr:to>
    <cdr:sp>
      <cdr:nvSpPr>
        <cdr:cNvPr id="6" name="TextBox 2"/>
        <cdr:cNvSpPr txBox="1">
          <a:spLocks noChangeArrowheads="1"/>
        </cdr:cNvSpPr>
      </cdr:nvSpPr>
      <cdr:spPr>
        <a:xfrm>
          <a:off x="4305300" y="2476500"/>
          <a:ext cx="57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 GM</a:t>
          </a:r>
        </a:p>
      </cdr:txBody>
    </cdr:sp>
  </cdr:relSizeAnchor>
  <cdr:relSizeAnchor xmlns:cdr="http://schemas.openxmlformats.org/drawingml/2006/chartDrawing">
    <cdr:from>
      <cdr:x>0.6315</cdr:x>
      <cdr:y>0.5695</cdr:y>
    </cdr:from>
    <cdr:to>
      <cdr:x>0.67175</cdr:x>
      <cdr:y>0.62725</cdr:y>
    </cdr:to>
    <cdr:sp>
      <cdr:nvSpPr>
        <cdr:cNvPr id="7" name="TextBox 2"/>
        <cdr:cNvSpPr txBox="1">
          <a:spLocks noChangeArrowheads="1"/>
        </cdr:cNvSpPr>
      </cdr:nvSpPr>
      <cdr:spPr>
        <a:xfrm>
          <a:off x="4295775" y="2733675"/>
          <a:ext cx="276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5</a:t>
          </a:r>
        </a:p>
      </cdr:txBody>
    </cdr:sp>
  </cdr:relSizeAnchor>
  <cdr:relSizeAnchor xmlns:cdr="http://schemas.openxmlformats.org/drawingml/2006/chartDrawing">
    <cdr:from>
      <cdr:x>0.299</cdr:x>
      <cdr:y>0.78575</cdr:y>
    </cdr:from>
    <cdr:to>
      <cdr:x>0.398</cdr:x>
      <cdr:y>0.84425</cdr:y>
    </cdr:to>
    <cdr:sp>
      <cdr:nvSpPr>
        <cdr:cNvPr id="8" name="TextBox 2"/>
        <cdr:cNvSpPr txBox="1">
          <a:spLocks noChangeArrowheads="1"/>
        </cdr:cNvSpPr>
      </cdr:nvSpPr>
      <cdr:spPr>
        <a:xfrm>
          <a:off x="2028825" y="3771900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 (GM)</a:t>
          </a:r>
        </a:p>
      </cdr:txBody>
    </cdr:sp>
  </cdr:relSizeAnchor>
  <cdr:relSizeAnchor xmlns:cdr="http://schemas.openxmlformats.org/drawingml/2006/chartDrawing">
    <cdr:from>
      <cdr:x>0.89925</cdr:x>
      <cdr:y>0.2115</cdr:y>
    </cdr:from>
    <cdr:to>
      <cdr:x>0.94825</cdr:x>
      <cdr:y>0.27</cdr:y>
    </cdr:to>
    <cdr:sp>
      <cdr:nvSpPr>
        <cdr:cNvPr id="9" name="TextBox 2"/>
        <cdr:cNvSpPr txBox="1">
          <a:spLocks noChangeArrowheads="1"/>
        </cdr:cNvSpPr>
      </cdr:nvSpPr>
      <cdr:spPr>
        <a:xfrm>
          <a:off x="6115050" y="1009650"/>
          <a:ext cx="333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</a:t>
          </a:r>
          <a:r>
            <a:rPr lang="en-US" cap="none" sz="12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0.4635</cdr:x>
      <cdr:y>0.42825</cdr:y>
    </cdr:from>
    <cdr:to>
      <cdr:x>0.54175</cdr:x>
      <cdr:y>0.53575</cdr:y>
    </cdr:to>
    <cdr:sp>
      <cdr:nvSpPr>
        <cdr:cNvPr id="1" name="TextBox 1"/>
        <cdr:cNvSpPr txBox="1">
          <a:spLocks noChangeArrowheads="1"/>
        </cdr:cNvSpPr>
      </cdr:nvSpPr>
      <cdr:spPr>
        <a:xfrm rot="17507709">
          <a:off x="3152775" y="2047875"/>
          <a:ext cx="5334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  <a:r>
            <a:rPr lang="en-US" cap="none" sz="12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= s</a:t>
          </a:r>
          <a:r>
            <a:rPr lang="en-US" cap="none" sz="12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0.429</cdr:x>
      <cdr:y>0.60025</cdr:y>
    </cdr:from>
    <cdr:to>
      <cdr:x>0.50225</cdr:x>
      <cdr:y>0.6835</cdr:y>
    </cdr:to>
    <cdr:sp>
      <cdr:nvSpPr>
        <cdr:cNvPr id="2" name="TextBox 1"/>
        <cdr:cNvSpPr txBox="1">
          <a:spLocks noChangeArrowheads="1"/>
        </cdr:cNvSpPr>
      </cdr:nvSpPr>
      <cdr:spPr>
        <a:xfrm rot="17342329">
          <a:off x="2914650" y="2876550"/>
          <a:ext cx="495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  <a:r>
            <a:rPr lang="en-US" cap="none" sz="12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=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  <a:r>
            <a:rPr lang="en-US" cap="none" sz="12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0.15675</cdr:x>
      <cdr:y>0.3775</cdr:y>
    </cdr:from>
    <cdr:to>
      <cdr:x>0.1955</cdr:x>
      <cdr:y>0.435</cdr:y>
    </cdr:to>
    <cdr:sp>
      <cdr:nvSpPr>
        <cdr:cNvPr id="3" name="TextBox 2"/>
        <cdr:cNvSpPr txBox="1">
          <a:spLocks noChangeArrowheads="1"/>
        </cdr:cNvSpPr>
      </cdr:nvSpPr>
      <cdr:spPr>
        <a:xfrm>
          <a:off x="1066800" y="1809750"/>
          <a:ext cx="266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3</a:t>
          </a:r>
        </a:p>
      </cdr:txBody>
    </cdr:sp>
  </cdr:relSizeAnchor>
  <cdr:relSizeAnchor xmlns:cdr="http://schemas.openxmlformats.org/drawingml/2006/chartDrawing">
    <cdr:from>
      <cdr:x>0.13625</cdr:x>
      <cdr:y>0.43825</cdr:y>
    </cdr:from>
    <cdr:to>
      <cdr:x>0.20775</cdr:x>
      <cdr:y>0.50325</cdr:y>
    </cdr:to>
    <cdr:sp>
      <cdr:nvSpPr>
        <cdr:cNvPr id="4" name="TextBox 2"/>
        <cdr:cNvSpPr txBox="1">
          <a:spLocks noChangeArrowheads="1"/>
        </cdr:cNvSpPr>
      </cdr:nvSpPr>
      <cdr:spPr>
        <a:xfrm>
          <a:off x="923925" y="2095500"/>
          <a:ext cx="485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 GM</a:t>
          </a:r>
        </a:p>
      </cdr:txBody>
    </cdr:sp>
  </cdr:relSizeAnchor>
  <cdr:relSizeAnchor xmlns:cdr="http://schemas.openxmlformats.org/drawingml/2006/chartDrawing">
    <cdr:from>
      <cdr:x>0.1715</cdr:x>
      <cdr:y>0.25475</cdr:y>
    </cdr:from>
    <cdr:to>
      <cdr:x>0.27575</cdr:x>
      <cdr:y>0.3125</cdr:y>
    </cdr:to>
    <cdr:sp>
      <cdr:nvSpPr>
        <cdr:cNvPr id="5" name="TextBox 2"/>
        <cdr:cNvSpPr txBox="1">
          <a:spLocks noChangeArrowheads="1"/>
        </cdr:cNvSpPr>
      </cdr:nvSpPr>
      <cdr:spPr>
        <a:xfrm>
          <a:off x="1162050" y="1219200"/>
          <a:ext cx="714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 (GM)</a:t>
          </a:r>
        </a:p>
      </cdr:txBody>
    </cdr:sp>
  </cdr:relSizeAnchor>
  <cdr:relSizeAnchor xmlns:cdr="http://schemas.openxmlformats.org/drawingml/2006/chartDrawing">
    <cdr:from>
      <cdr:x>0.782</cdr:x>
      <cdr:y>0.50325</cdr:y>
    </cdr:from>
    <cdr:to>
      <cdr:x>0.8665</cdr:x>
      <cdr:y>0.56075</cdr:y>
    </cdr:to>
    <cdr:sp>
      <cdr:nvSpPr>
        <cdr:cNvPr id="6" name="TextBox 2"/>
        <cdr:cNvSpPr txBox="1">
          <a:spLocks noChangeArrowheads="1"/>
        </cdr:cNvSpPr>
      </cdr:nvSpPr>
      <cdr:spPr>
        <a:xfrm>
          <a:off x="5324475" y="2409825"/>
          <a:ext cx="57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 GM</a:t>
          </a:r>
        </a:p>
      </cdr:txBody>
    </cdr:sp>
  </cdr:relSizeAnchor>
  <cdr:relSizeAnchor xmlns:cdr="http://schemas.openxmlformats.org/drawingml/2006/chartDrawing">
    <cdr:from>
      <cdr:x>0.8295</cdr:x>
      <cdr:y>0.57</cdr:y>
    </cdr:from>
    <cdr:to>
      <cdr:x>0.87075</cdr:x>
      <cdr:y>0.6275</cdr:y>
    </cdr:to>
    <cdr:sp>
      <cdr:nvSpPr>
        <cdr:cNvPr id="7" name="TextBox 2"/>
        <cdr:cNvSpPr txBox="1">
          <a:spLocks noChangeArrowheads="1"/>
        </cdr:cNvSpPr>
      </cdr:nvSpPr>
      <cdr:spPr>
        <a:xfrm>
          <a:off x="5648325" y="2733675"/>
          <a:ext cx="276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5</a:t>
          </a:r>
        </a:p>
      </cdr:txBody>
    </cdr:sp>
  </cdr:relSizeAnchor>
  <cdr:relSizeAnchor xmlns:cdr="http://schemas.openxmlformats.org/drawingml/2006/chartDrawing">
    <cdr:from>
      <cdr:x>0.7805</cdr:x>
      <cdr:y>0.68275</cdr:y>
    </cdr:from>
    <cdr:to>
      <cdr:x>0.8795</cdr:x>
      <cdr:y>0.73975</cdr:y>
    </cdr:to>
    <cdr:sp>
      <cdr:nvSpPr>
        <cdr:cNvPr id="8" name="TextBox 2"/>
        <cdr:cNvSpPr txBox="1">
          <a:spLocks noChangeArrowheads="1"/>
        </cdr:cNvSpPr>
      </cdr:nvSpPr>
      <cdr:spPr>
        <a:xfrm>
          <a:off x="5314950" y="3276600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 (GM)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5</xdr:row>
      <xdr:rowOff>66675</xdr:rowOff>
    </xdr:from>
    <xdr:to>
      <xdr:col>18</xdr:col>
      <xdr:colOff>28575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7562850" y="1057275"/>
        <a:ext cx="68103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31</xdr:row>
      <xdr:rowOff>123825</xdr:rowOff>
    </xdr:from>
    <xdr:to>
      <xdr:col>18</xdr:col>
      <xdr:colOff>47625</xdr:colOff>
      <xdr:row>56</xdr:row>
      <xdr:rowOff>123825</xdr:rowOff>
    </xdr:to>
    <xdr:graphicFrame>
      <xdr:nvGraphicFramePr>
        <xdr:cNvPr id="2" name="Chart 1"/>
        <xdr:cNvGraphicFramePr/>
      </xdr:nvGraphicFramePr>
      <xdr:xfrm>
        <a:off x="7581900" y="6076950"/>
        <a:ext cx="6810375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zoomScalePageLayoutView="0" workbookViewId="0" topLeftCell="A1">
      <selection activeCell="F30" sqref="F30"/>
    </sheetView>
  </sheetViews>
  <sheetFormatPr defaultColWidth="9.140625" defaultRowHeight="15"/>
  <cols>
    <col min="1" max="1" width="26.00390625" style="0" customWidth="1"/>
    <col min="2" max="2" width="17.140625" style="0" customWidth="1"/>
    <col min="3" max="3" width="13.28125" style="0" customWidth="1"/>
    <col min="4" max="4" width="12.8515625" style="0" customWidth="1"/>
    <col min="5" max="5" width="14.57421875" style="0" customWidth="1"/>
    <col min="6" max="6" width="11.28125" style="0" customWidth="1"/>
    <col min="8" max="8" width="16.7109375" style="0" bestFit="1" customWidth="1"/>
    <col min="9" max="9" width="10.7109375" style="0" customWidth="1"/>
    <col min="10" max="10" width="10.28125" style="0" customWidth="1"/>
  </cols>
  <sheetData>
    <row r="1" ht="18">
      <c r="A1" s="12" t="s">
        <v>23</v>
      </c>
    </row>
    <row r="3" spans="1:6" ht="15">
      <c r="A3" s="15" t="s">
        <v>0</v>
      </c>
      <c r="B3" s="16" t="s">
        <v>2</v>
      </c>
      <c r="C3" s="16"/>
      <c r="D3" s="16"/>
      <c r="E3" s="16"/>
      <c r="F3" s="16"/>
    </row>
    <row r="4" spans="1:6" ht="15">
      <c r="A4" s="15" t="s">
        <v>6</v>
      </c>
      <c r="B4" s="16"/>
      <c r="C4" s="16"/>
      <c r="D4" s="16"/>
      <c r="E4" s="16"/>
      <c r="F4" s="16"/>
    </row>
    <row r="5" spans="1:6" ht="15">
      <c r="A5" s="16"/>
      <c r="B5" s="16" t="s">
        <v>3</v>
      </c>
      <c r="C5" s="17">
        <v>0.21</v>
      </c>
      <c r="D5" s="16"/>
      <c r="E5" s="16"/>
      <c r="F5" s="16"/>
    </row>
    <row r="6" spans="1:6" ht="15">
      <c r="A6" s="16"/>
      <c r="B6" s="16" t="s">
        <v>4</v>
      </c>
      <c r="C6" s="17">
        <v>0.78</v>
      </c>
      <c r="D6" s="16"/>
      <c r="E6" s="16"/>
      <c r="F6" s="16"/>
    </row>
    <row r="7" spans="1:6" ht="15">
      <c r="A7" s="16"/>
      <c r="B7" s="16" t="s">
        <v>5</v>
      </c>
      <c r="C7" s="17">
        <v>0.01</v>
      </c>
      <c r="D7" s="16"/>
      <c r="E7" s="16"/>
      <c r="F7" s="16"/>
    </row>
    <row r="8" spans="1:6" ht="15">
      <c r="A8" s="16"/>
      <c r="B8" s="16"/>
      <c r="C8" s="17"/>
      <c r="D8" s="16"/>
      <c r="E8" s="16"/>
      <c r="F8" s="16"/>
    </row>
    <row r="9" spans="1:6" ht="15">
      <c r="A9" s="16" t="s">
        <v>42</v>
      </c>
      <c r="B9" s="51">
        <f>_XLL.MMOL(Fluid)*1000</f>
        <v>28.969680000000004</v>
      </c>
      <c r="C9" s="17"/>
      <c r="D9" s="16"/>
      <c r="E9" s="16"/>
      <c r="F9" s="16"/>
    </row>
    <row r="10" spans="1:6" ht="15">
      <c r="A10" s="16"/>
      <c r="B10" s="16"/>
      <c r="C10" s="17"/>
      <c r="D10" s="16"/>
      <c r="E10" s="16"/>
      <c r="F10" s="16"/>
    </row>
    <row r="11" spans="1:6" ht="15">
      <c r="A11" s="15" t="s">
        <v>1</v>
      </c>
      <c r="B11" s="16"/>
      <c r="C11" s="16"/>
      <c r="D11" s="16"/>
      <c r="E11" s="16"/>
      <c r="F11" s="16"/>
    </row>
    <row r="12" spans="1:6" ht="15">
      <c r="A12" s="16" t="str">
        <f>_XLL.SETFLUID("GasMix",B5:B7,C5:C7)</f>
        <v>GasMix, O2, N2, Ar, 0.21, 0.78, 0.01</v>
      </c>
      <c r="B12" s="18"/>
      <c r="C12" s="18"/>
      <c r="D12" s="18"/>
      <c r="E12" s="16"/>
      <c r="F12" s="16"/>
    </row>
    <row r="13" spans="1:6" ht="15">
      <c r="A13" s="17"/>
      <c r="B13" s="18"/>
      <c r="C13" s="18"/>
      <c r="D13" s="18"/>
      <c r="E13" s="16"/>
      <c r="F13" s="16"/>
    </row>
    <row r="14" spans="1:6" ht="15">
      <c r="A14" s="49" t="s">
        <v>13</v>
      </c>
      <c r="B14" s="18"/>
      <c r="C14" s="18"/>
      <c r="D14" s="16"/>
      <c r="E14" s="16"/>
      <c r="F14" s="16"/>
    </row>
    <row r="15" spans="1:6" ht="15.75">
      <c r="A15" s="48" t="s">
        <v>22</v>
      </c>
      <c r="B15" s="19">
        <f>1.4</f>
        <v>1.4</v>
      </c>
      <c r="C15" s="18"/>
      <c r="D15" s="16"/>
      <c r="E15" s="16"/>
      <c r="F15" s="16"/>
    </row>
    <row r="16" spans="1:6" ht="15">
      <c r="A16" s="16"/>
      <c r="B16" s="16"/>
      <c r="C16" s="16"/>
      <c r="D16" s="16"/>
      <c r="E16" s="16"/>
      <c r="F16" s="16"/>
    </row>
    <row r="17" spans="1:6" ht="15">
      <c r="A17" s="15" t="s">
        <v>26</v>
      </c>
      <c r="B17" s="16"/>
      <c r="C17" s="16"/>
      <c r="D17" s="16"/>
      <c r="E17" s="16"/>
      <c r="F17" s="16"/>
    </row>
    <row r="18" spans="1:6" ht="15">
      <c r="A18" s="16"/>
      <c r="B18" s="16"/>
      <c r="C18" s="16"/>
      <c r="D18" s="16"/>
      <c r="E18" s="16"/>
      <c r="F18" s="16"/>
    </row>
    <row r="19" spans="1:6" ht="15">
      <c r="A19" s="20" t="s">
        <v>27</v>
      </c>
      <c r="B19" s="16" t="s">
        <v>25</v>
      </c>
      <c r="C19" s="17">
        <v>293.15</v>
      </c>
      <c r="D19" s="16"/>
      <c r="E19" s="16"/>
      <c r="F19" s="16"/>
    </row>
    <row r="20" spans="1:6" ht="15">
      <c r="A20" s="16"/>
      <c r="B20" s="16" t="s">
        <v>24</v>
      </c>
      <c r="C20" s="17">
        <v>1.013</v>
      </c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20" t="s">
        <v>29</v>
      </c>
      <c r="B22" s="16" t="s">
        <v>28</v>
      </c>
      <c r="C22" s="17">
        <v>2000</v>
      </c>
      <c r="D22" s="16"/>
      <c r="E22" s="16"/>
      <c r="F22" s="16"/>
    </row>
    <row r="23" spans="1:6" ht="15">
      <c r="A23" s="16"/>
      <c r="B23" s="16"/>
      <c r="C23" s="17"/>
      <c r="D23" s="16"/>
      <c r="E23" s="16"/>
      <c r="F23" s="16"/>
    </row>
    <row r="24" spans="1:6" ht="15">
      <c r="A24" s="20" t="s">
        <v>30</v>
      </c>
      <c r="B24" s="16" t="s">
        <v>31</v>
      </c>
      <c r="C24" s="17">
        <v>1600</v>
      </c>
      <c r="D24" s="16"/>
      <c r="E24" s="16"/>
      <c r="F24" s="16"/>
    </row>
    <row r="25" spans="1:6" ht="15">
      <c r="A25" s="20" t="s">
        <v>33</v>
      </c>
      <c r="B25" s="16" t="s">
        <v>34</v>
      </c>
      <c r="C25" s="17">
        <v>8.5</v>
      </c>
      <c r="D25" s="16"/>
      <c r="E25" s="16"/>
      <c r="F25" s="16"/>
    </row>
    <row r="26" spans="1:6" ht="15">
      <c r="A26" s="16"/>
      <c r="B26" s="16"/>
      <c r="C26" s="17"/>
      <c r="D26" s="16"/>
      <c r="E26" s="16"/>
      <c r="F26" s="16"/>
    </row>
    <row r="27" ht="15">
      <c r="C27" s="2"/>
    </row>
    <row r="28" ht="15">
      <c r="A28" s="14" t="s">
        <v>52</v>
      </c>
    </row>
    <row r="29" spans="1:7" ht="15">
      <c r="A29" s="21" t="s">
        <v>9</v>
      </c>
      <c r="B29" s="21" t="s">
        <v>15</v>
      </c>
      <c r="C29" s="21" t="s">
        <v>10</v>
      </c>
      <c r="D29" s="21" t="s">
        <v>16</v>
      </c>
      <c r="E29" s="21" t="s">
        <v>32</v>
      </c>
      <c r="F29" s="21" t="s">
        <v>35</v>
      </c>
      <c r="G29" t="s">
        <v>51</v>
      </c>
    </row>
    <row r="30" spans="1:7" ht="15">
      <c r="A30" s="21">
        <v>2</v>
      </c>
      <c r="B30" s="23">
        <f>P_in</f>
        <v>1.013</v>
      </c>
      <c r="C30" s="23">
        <f>T_in</f>
        <v>293.15</v>
      </c>
      <c r="D30" s="23">
        <f>_XLL.ENTROPY(Fluid,"PT",P_2,T_2-273.15)</f>
        <v>6.8418107413291445</v>
      </c>
      <c r="E30" s="23">
        <f>_XLL.INTENERGY(Fluid,"PT",P_2,T_2-273.15)</f>
        <v>-89.16366898950331</v>
      </c>
      <c r="F30" s="26">
        <f>_XLL.SPECVOLUME(Fluid,"PT",P_2,T_2-273.15)</f>
        <v>0.8305436191444114</v>
      </c>
      <c r="G30" s="1">
        <f>(8.314*1000)/M_mol*T_2/(P_2*100000)</f>
        <v>0.830513651127171</v>
      </c>
    </row>
    <row r="31" spans="1:6" ht="15">
      <c r="A31" s="21">
        <v>3</v>
      </c>
      <c r="B31" s="23">
        <f>P_2*rho^gamma</f>
        <v>20.267302114803375</v>
      </c>
      <c r="C31" s="23">
        <f>T_2*(P_3/P_2)*(v_3/v_2)</f>
        <v>690.0133110684176</v>
      </c>
      <c r="D31" s="23">
        <f>s_2</f>
        <v>6.8418107413291445</v>
      </c>
      <c r="E31" s="23">
        <f>_XLL.INTENERGY(Fluid,"PT",P_3,T_3-273.15)</f>
        <v>206.07560783116284</v>
      </c>
      <c r="F31" s="26">
        <f>v_2/rho</f>
        <v>0.09771101401698958</v>
      </c>
    </row>
    <row r="32" spans="1:6" ht="15">
      <c r="A32" s="21" t="s">
        <v>36</v>
      </c>
      <c r="B32" s="23">
        <f>_XLL.PRESSURE(Fluid,"vs",v_3_GM,s_3_GM)</f>
        <v>19.792513100518406</v>
      </c>
      <c r="C32" s="23">
        <f>_XLL.TEMPERATURE(Fluid,"vs",v_3_GM,s_3_GM)+273.15</f>
        <v>673.8488142235359</v>
      </c>
      <c r="D32" s="23">
        <f>s_2</f>
        <v>6.8418107413291445</v>
      </c>
      <c r="E32" s="23">
        <f>_XLL.INTENERGY(Fluid,"vs",v_3_GM,s_3_GM)</f>
        <v>193.4283936850677</v>
      </c>
      <c r="F32" s="26">
        <f>v_2/rho</f>
        <v>0.09771101401698958</v>
      </c>
    </row>
    <row r="33" spans="1:6" ht="15">
      <c r="A33" s="25"/>
      <c r="B33" s="26"/>
      <c r="C33" s="27"/>
      <c r="D33" s="23"/>
      <c r="E33" s="26"/>
      <c r="F33" s="26"/>
    </row>
    <row r="34" spans="1:10" ht="15.75">
      <c r="A34" s="24"/>
      <c r="B34" s="24"/>
      <c r="C34" s="46" t="s">
        <v>21</v>
      </c>
      <c r="D34" s="28" t="s">
        <v>11</v>
      </c>
      <c r="E34" s="26"/>
      <c r="F34" s="26"/>
      <c r="H34" s="1"/>
      <c r="I34" s="1"/>
      <c r="J34" s="4"/>
    </row>
    <row r="35" spans="1:6" ht="15">
      <c r="A35" s="24"/>
      <c r="B35" s="21" t="s">
        <v>37</v>
      </c>
      <c r="C35" s="23">
        <f>u_3-u_2</f>
        <v>295.23927682066613</v>
      </c>
      <c r="D35" s="23">
        <f>u_3_GM-u_2</f>
        <v>282.592062674571</v>
      </c>
      <c r="E35" s="24"/>
      <c r="F35" s="24"/>
    </row>
    <row r="36" spans="1:6" ht="15">
      <c r="A36" s="22"/>
      <c r="B36" s="24"/>
      <c r="C36" s="29"/>
      <c r="D36" s="30"/>
      <c r="E36" s="24"/>
      <c r="F36" s="24"/>
    </row>
    <row r="37" spans="1:6" ht="15">
      <c r="A37" s="2"/>
      <c r="B37" s="3"/>
      <c r="C37" s="5"/>
      <c r="D37" s="4"/>
      <c r="E37" s="1"/>
      <c r="F37" s="1"/>
    </row>
    <row r="38" spans="1:6" ht="15">
      <c r="A38" s="14" t="s">
        <v>54</v>
      </c>
      <c r="B38" s="2"/>
      <c r="C38" s="2"/>
      <c r="E38" s="1"/>
      <c r="F38" s="1"/>
    </row>
    <row r="39" spans="1:7" ht="15">
      <c r="A39" s="21" t="s">
        <v>9</v>
      </c>
      <c r="B39" s="21" t="s">
        <v>15</v>
      </c>
      <c r="C39" s="21" t="s">
        <v>10</v>
      </c>
      <c r="D39" s="21" t="s">
        <v>17</v>
      </c>
      <c r="E39" s="21" t="s">
        <v>32</v>
      </c>
      <c r="F39" s="21" t="s">
        <v>35</v>
      </c>
      <c r="G39" s="4"/>
    </row>
    <row r="40" spans="1:6" ht="15">
      <c r="A40" s="21">
        <v>4</v>
      </c>
      <c r="B40" s="23">
        <f>P_3*T_4/T_3</f>
        <v>58.74466996418215</v>
      </c>
      <c r="C40" s="23">
        <f>T_max</f>
        <v>2000</v>
      </c>
      <c r="D40" s="23">
        <f>_XLL.ENTROPY(Fluid,"PT",P_4,T_4-273.15)</f>
        <v>7.795543420918945</v>
      </c>
      <c r="E40" s="23">
        <f>_XLL.INTENERGY(Fluid,"PT",P_4,T_4-273.15)</f>
        <v>1377.945963002054</v>
      </c>
      <c r="F40" s="26">
        <f>v_3</f>
        <v>0.09771101401698958</v>
      </c>
    </row>
    <row r="41" spans="1:6" ht="15">
      <c r="A41" s="21" t="s">
        <v>12</v>
      </c>
      <c r="B41" s="23">
        <f>_XLL.PRESSURE(Fluid,"Tv",T_4_GM-273.15,v_4_GM)</f>
        <v>58.744669964182165</v>
      </c>
      <c r="C41" s="23">
        <f>T_max</f>
        <v>2000</v>
      </c>
      <c r="D41" s="23">
        <f>_XLL.ENTROPY(Fluid,"Tv",T_4_GM-273.15,v_4_GM)</f>
        <v>7.795543420918945</v>
      </c>
      <c r="E41" s="23">
        <f>_XLL.INTENERGY(Fluid,"Tv",T_4_GM-273.15,v_4_GM)</f>
        <v>1377.945963002054</v>
      </c>
      <c r="F41" s="26">
        <f>v_3_GM</f>
        <v>0.09771101401698958</v>
      </c>
    </row>
    <row r="42" spans="1:6" ht="15">
      <c r="A42" s="22"/>
      <c r="B42" s="24"/>
      <c r="C42" s="29"/>
      <c r="D42" s="30"/>
      <c r="E42" s="24"/>
      <c r="F42" s="24"/>
    </row>
    <row r="43" spans="1:6" ht="15.75">
      <c r="A43" s="24"/>
      <c r="B43" s="24"/>
      <c r="C43" s="46" t="s">
        <v>21</v>
      </c>
      <c r="D43" s="28" t="s">
        <v>11</v>
      </c>
      <c r="E43" s="24"/>
      <c r="F43" s="24"/>
    </row>
    <row r="44" spans="1:6" ht="15">
      <c r="A44" s="24"/>
      <c r="B44" s="21" t="s">
        <v>39</v>
      </c>
      <c r="C44" s="23">
        <f>u_4-u_3</f>
        <v>1171.8703551708911</v>
      </c>
      <c r="D44" s="23">
        <f>u_4_GM-u_3_GM</f>
        <v>1184.5175693169863</v>
      </c>
      <c r="E44" s="24"/>
      <c r="F44" s="24"/>
    </row>
    <row r="45" spans="1:6" ht="15">
      <c r="A45" s="22"/>
      <c r="B45" s="24"/>
      <c r="C45" s="29"/>
      <c r="D45" s="30"/>
      <c r="E45" s="24"/>
      <c r="F45" s="24"/>
    </row>
    <row r="47" spans="1:7" ht="15">
      <c r="A47" s="14" t="s">
        <v>55</v>
      </c>
      <c r="B47" s="31"/>
      <c r="C47" s="31"/>
      <c r="D47" s="31"/>
      <c r="E47" s="31"/>
      <c r="F47" s="31"/>
      <c r="G47" s="4"/>
    </row>
    <row r="48" spans="1:7" ht="15">
      <c r="A48" s="21" t="s">
        <v>9</v>
      </c>
      <c r="B48" s="21" t="s">
        <v>15</v>
      </c>
      <c r="C48" s="21" t="s">
        <v>10</v>
      </c>
      <c r="D48" s="21" t="s">
        <v>17</v>
      </c>
      <c r="E48" s="21" t="s">
        <v>32</v>
      </c>
      <c r="F48" s="21" t="s">
        <v>35</v>
      </c>
      <c r="G48" t="s">
        <v>50</v>
      </c>
    </row>
    <row r="49" spans="1:7" ht="15">
      <c r="A49" s="21">
        <v>5</v>
      </c>
      <c r="B49" s="23">
        <f>P_4/rho^gamma</f>
        <v>2.9361752411166364</v>
      </c>
      <c r="C49" s="23">
        <f>T_2*(P_5/P_2)</f>
        <v>849.6937531424896</v>
      </c>
      <c r="D49" s="23">
        <f>s_4</f>
        <v>7.795543420918945</v>
      </c>
      <c r="E49" s="23">
        <f>_XLL.INTENERGY(Fluid,"PT",P_5,T_5-273.15)</f>
        <v>334.3906101348572</v>
      </c>
      <c r="F49" s="26">
        <f>v_2</f>
        <v>0.8305436191444114</v>
      </c>
      <c r="G49" s="6">
        <f>(P_5*100000)*v_5/((8.314*1000)/M_mol)</f>
        <v>849.7244132490498</v>
      </c>
    </row>
    <row r="50" spans="1:6" ht="15">
      <c r="A50" s="21" t="s">
        <v>53</v>
      </c>
      <c r="B50" s="23">
        <f>_XLL.PRESSURE(Fluid,"vs",v_5_GM,s_5_GM)</f>
        <v>3.5263233289365035</v>
      </c>
      <c r="C50" s="23">
        <f>_XLL.TEMPERATURE(Fluid,"vs",v_5_GM,s_5_GM)+273.15</f>
        <v>1020.4755023511261</v>
      </c>
      <c r="D50" s="23">
        <f>s_4_GM</f>
        <v>7.795543420918945</v>
      </c>
      <c r="E50" s="23">
        <f>_XLL.INTENERGY(Fluid,"vs",v_5_GM,s_5_GM)</f>
        <v>477.940886026327</v>
      </c>
      <c r="F50" s="26">
        <f>v_2</f>
        <v>0.8305436191444114</v>
      </c>
    </row>
    <row r="51" spans="1:6" ht="15">
      <c r="A51" s="21"/>
      <c r="B51" s="24"/>
      <c r="C51" s="27"/>
      <c r="D51" s="23"/>
      <c r="E51" s="26"/>
      <c r="F51" s="26"/>
    </row>
    <row r="52" spans="1:6" ht="15.75">
      <c r="A52" s="21"/>
      <c r="B52" s="21"/>
      <c r="C52" s="46" t="s">
        <v>21</v>
      </c>
      <c r="D52" s="28" t="s">
        <v>11</v>
      </c>
      <c r="E52" s="24"/>
      <c r="F52" s="24"/>
    </row>
    <row r="53" spans="1:7" ht="15">
      <c r="A53" s="21"/>
      <c r="B53" s="21" t="s">
        <v>38</v>
      </c>
      <c r="C53" s="23">
        <f>u_4-u_5</f>
        <v>1043.5553528671967</v>
      </c>
      <c r="D53" s="23">
        <f>u_4_GM-u_5_GM</f>
        <v>900.005076975727</v>
      </c>
      <c r="E53" s="25"/>
      <c r="F53" s="25"/>
      <c r="G53" s="7"/>
    </row>
    <row r="54" spans="1:6" ht="15">
      <c r="A54" s="21"/>
      <c r="B54" s="25"/>
      <c r="C54" s="25"/>
      <c r="D54" s="25"/>
      <c r="E54" s="25"/>
      <c r="F54" s="25"/>
    </row>
    <row r="55" spans="1:6" ht="15">
      <c r="A55" s="32"/>
      <c r="B55" s="32"/>
      <c r="C55" s="32"/>
      <c r="D55" s="32"/>
      <c r="E55" s="32"/>
      <c r="F55" s="32"/>
    </row>
    <row r="56" ht="15.75" thickBot="1"/>
    <row r="57" spans="1:4" ht="16.5" thickBot="1">
      <c r="A57" s="32"/>
      <c r="B57" s="33"/>
      <c r="C57" s="47" t="s">
        <v>21</v>
      </c>
      <c r="D57" s="34" t="s">
        <v>11</v>
      </c>
    </row>
    <row r="58" spans="1:4" ht="15">
      <c r="A58" s="35" t="s">
        <v>14</v>
      </c>
      <c r="B58" s="36"/>
      <c r="C58" s="36">
        <f>w_expan-w_compr</f>
        <v>748.3160760465305</v>
      </c>
      <c r="D58" s="37">
        <f>w_expan_GM-w_compr_GM</f>
        <v>617.413014301156</v>
      </c>
    </row>
    <row r="59" spans="1:4" ht="15">
      <c r="A59" s="38"/>
      <c r="B59" s="39"/>
      <c r="C59" s="40"/>
      <c r="D59" s="41"/>
    </row>
    <row r="60" spans="1:4" ht="15">
      <c r="A60" s="38" t="s">
        <v>41</v>
      </c>
      <c r="B60" s="39"/>
      <c r="C60" s="56">
        <f>(P_in*10^5)*(v_cyl*10^-6)/(8.314/M_mol*10^3)/T_in</f>
        <v>0.001926518604273974</v>
      </c>
      <c r="D60" s="57"/>
    </row>
    <row r="61" spans="1:4" ht="15">
      <c r="A61" s="38"/>
      <c r="B61" s="39"/>
      <c r="C61" s="52"/>
      <c r="D61" s="50"/>
    </row>
    <row r="62" spans="1:4" ht="15">
      <c r="A62" s="38" t="s">
        <v>43</v>
      </c>
      <c r="B62" s="39"/>
      <c r="C62" s="39">
        <f>w_net*mass</f>
        <v>1.441644842380939</v>
      </c>
      <c r="D62" s="42">
        <f>w_net_GM*mass</f>
        <v>1.1894576585720502</v>
      </c>
    </row>
    <row r="63" spans="1:4" ht="15">
      <c r="A63" s="38"/>
      <c r="B63" s="39"/>
      <c r="C63" s="40"/>
      <c r="D63" s="41"/>
    </row>
    <row r="64" spans="1:4" ht="15">
      <c r="A64" s="38" t="s">
        <v>40</v>
      </c>
      <c r="B64" s="39"/>
      <c r="C64" s="39">
        <f>w_net/q_heat</f>
        <v>0.6385655825702711</v>
      </c>
      <c r="D64" s="42">
        <f>w_net_GM/q_heat_GM</f>
        <v>0.5212358434304754</v>
      </c>
    </row>
    <row r="65" spans="1:4" ht="15.75" thickBot="1">
      <c r="A65" s="43"/>
      <c r="B65" s="44"/>
      <c r="C65" s="44"/>
      <c r="D65" s="45"/>
    </row>
  </sheetData>
  <sheetProtection/>
  <mergeCells count="1">
    <mergeCell ref="C60:D60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0" bestFit="1" customWidth="1"/>
    <col min="2" max="2" width="15.00390625" style="0" bestFit="1" customWidth="1"/>
    <col min="3" max="3" width="14.57421875" style="0" bestFit="1" customWidth="1"/>
    <col min="4" max="4" width="14.57421875" style="0" customWidth="1"/>
    <col min="5" max="5" width="3.00390625" style="0" customWidth="1"/>
    <col min="6" max="6" width="10.421875" style="0" customWidth="1"/>
    <col min="7" max="7" width="15.140625" style="0" bestFit="1" customWidth="1"/>
    <col min="8" max="8" width="14.7109375" style="0" customWidth="1"/>
    <col min="9" max="9" width="3.421875" style="0" customWidth="1"/>
    <col min="10" max="10" width="9.57421875" style="0" bestFit="1" customWidth="1"/>
    <col min="11" max="12" width="9.00390625" style="0" customWidth="1"/>
    <col min="13" max="13" width="2.00390625" style="0" customWidth="1"/>
    <col min="14" max="14" width="9.7109375" style="0" customWidth="1"/>
    <col min="15" max="16" width="10.7109375" style="0" customWidth="1"/>
    <col min="17" max="17" width="2.421875" style="0" customWidth="1"/>
    <col min="20" max="20" width="9.00390625" style="0" customWidth="1"/>
    <col min="21" max="21" width="2.28125" style="0" customWidth="1"/>
    <col min="27" max="28" width="9.28125" style="0" bestFit="1" customWidth="1"/>
    <col min="29" max="29" width="9.57421875" style="0" bestFit="1" customWidth="1"/>
  </cols>
  <sheetData>
    <row r="1" spans="1:24" ht="15">
      <c r="A1" s="10" t="s">
        <v>44</v>
      </c>
      <c r="B1" s="11"/>
      <c r="D1" s="10" t="s">
        <v>56</v>
      </c>
      <c r="F1" s="10" t="s">
        <v>48</v>
      </c>
      <c r="G1" s="10"/>
      <c r="J1" s="10" t="s">
        <v>45</v>
      </c>
      <c r="K1" s="11"/>
      <c r="L1" s="11"/>
      <c r="N1" s="10" t="s">
        <v>46</v>
      </c>
      <c r="O1" s="10"/>
      <c r="P1" s="10"/>
      <c r="R1" s="10" t="s">
        <v>19</v>
      </c>
      <c r="S1" s="11"/>
      <c r="T1" s="11"/>
      <c r="V1" s="10" t="s">
        <v>18</v>
      </c>
      <c r="W1" s="11"/>
      <c r="X1" s="11"/>
    </row>
    <row r="2" spans="10:34" ht="17.25">
      <c r="J2" s="9" t="s">
        <v>9</v>
      </c>
      <c r="K2" s="9" t="s">
        <v>17</v>
      </c>
      <c r="L2" s="54" t="s">
        <v>49</v>
      </c>
      <c r="N2" s="9" t="s">
        <v>9</v>
      </c>
      <c r="O2" s="9" t="s">
        <v>17</v>
      </c>
      <c r="P2" s="54" t="s">
        <v>49</v>
      </c>
      <c r="R2" s="9" t="s">
        <v>9</v>
      </c>
      <c r="S2" s="9" t="s">
        <v>15</v>
      </c>
      <c r="T2" s="9" t="s">
        <v>17</v>
      </c>
      <c r="U2" s="9"/>
      <c r="V2" s="9" t="s">
        <v>9</v>
      </c>
      <c r="W2" s="9" t="s">
        <v>15</v>
      </c>
      <c r="X2" s="9" t="s">
        <v>17</v>
      </c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0:34" ht="15">
      <c r="J3" s="2">
        <v>4</v>
      </c>
      <c r="K3" s="4">
        <f>s_4</f>
        <v>7.795543420918945</v>
      </c>
      <c r="L3" s="8">
        <f>v_4</f>
        <v>0.09771101401698958</v>
      </c>
      <c r="N3" s="2">
        <v>2</v>
      </c>
      <c r="O3" s="4">
        <f>s_2</f>
        <v>6.8418107413291445</v>
      </c>
      <c r="P3" s="8">
        <f>v_2</f>
        <v>0.8305436191444114</v>
      </c>
      <c r="R3" s="2">
        <v>2</v>
      </c>
      <c r="S3" s="4">
        <f>P_2</f>
        <v>1.013</v>
      </c>
      <c r="T3" s="4">
        <f>s_2</f>
        <v>6.8418107413291445</v>
      </c>
      <c r="U3" s="2"/>
      <c r="V3" s="2">
        <v>4</v>
      </c>
      <c r="W3" s="4">
        <f>P_4_GM</f>
        <v>58.744669964182165</v>
      </c>
      <c r="X3" s="4">
        <f>s_4_GM</f>
        <v>7.795543420918945</v>
      </c>
      <c r="AA3" s="4"/>
      <c r="AB3" s="4"/>
      <c r="AC3" s="4"/>
      <c r="AE3" s="2"/>
      <c r="AF3" s="4"/>
      <c r="AG3" s="4"/>
      <c r="AH3" s="4"/>
    </row>
    <row r="4" spans="1:34" ht="15">
      <c r="A4" s="13"/>
      <c r="B4" s="2"/>
      <c r="J4" s="2" t="s">
        <v>36</v>
      </c>
      <c r="K4" s="4">
        <f>s_3_GM</f>
        <v>6.8418107413291445</v>
      </c>
      <c r="L4" s="8">
        <f>v_3_GM</f>
        <v>0.09771101401698958</v>
      </c>
      <c r="N4" s="2" t="s">
        <v>53</v>
      </c>
      <c r="O4" s="4">
        <f>s_5_GM</f>
        <v>7.795543420918945</v>
      </c>
      <c r="P4" s="8">
        <f>v_5_GM</f>
        <v>0.8305436191444114</v>
      </c>
      <c r="R4" s="2" t="s">
        <v>36</v>
      </c>
      <c r="S4" s="4">
        <f>P_3_GM</f>
        <v>19.792513100518406</v>
      </c>
      <c r="T4" s="4">
        <f>s_3_GM</f>
        <v>6.8418107413291445</v>
      </c>
      <c r="U4" s="2"/>
      <c r="V4" s="2" t="s">
        <v>53</v>
      </c>
      <c r="W4" s="4">
        <f>P_5_GM</f>
        <v>3.5263233289365035</v>
      </c>
      <c r="X4" s="4">
        <f>s_5_GM</f>
        <v>7.795543420918945</v>
      </c>
      <c r="AA4" s="4"/>
      <c r="AB4" s="4"/>
      <c r="AC4" s="4"/>
      <c r="AE4" s="2"/>
      <c r="AF4" s="4"/>
      <c r="AG4" s="4"/>
      <c r="AH4" s="4"/>
    </row>
    <row r="5" spans="2:8" ht="18.75">
      <c r="B5" s="13" t="s">
        <v>58</v>
      </c>
      <c r="C5" s="13" t="s">
        <v>59</v>
      </c>
      <c r="D5" s="13" t="s">
        <v>57</v>
      </c>
      <c r="G5" t="s">
        <v>60</v>
      </c>
      <c r="H5" t="s">
        <v>61</v>
      </c>
    </row>
    <row r="6" spans="2:8" ht="15">
      <c r="B6" s="55">
        <f>v_3</f>
        <v>0.09771101401698958</v>
      </c>
      <c r="C6" s="55">
        <f>v_2</f>
        <v>0.8305436191444114</v>
      </c>
      <c r="D6" s="55">
        <f>P_2</f>
        <v>1.013</v>
      </c>
      <c r="G6" s="6">
        <f>s_2</f>
        <v>6.8418107413291445</v>
      </c>
      <c r="H6" s="6">
        <f>s_4</f>
        <v>7.795543420918945</v>
      </c>
    </row>
    <row r="7" spans="1:23" ht="15">
      <c r="A7" t="s">
        <v>7</v>
      </c>
      <c r="B7" t="s">
        <v>8</v>
      </c>
      <c r="C7" t="s">
        <v>8</v>
      </c>
      <c r="D7" t="s">
        <v>8</v>
      </c>
      <c r="F7" t="s">
        <v>47</v>
      </c>
      <c r="G7" t="s">
        <v>20</v>
      </c>
      <c r="H7" t="s">
        <v>20</v>
      </c>
      <c r="J7" t="s">
        <v>8</v>
      </c>
      <c r="K7" t="s">
        <v>7</v>
      </c>
      <c r="N7" t="s">
        <v>8</v>
      </c>
      <c r="O7" t="s">
        <v>7</v>
      </c>
      <c r="R7" t="s">
        <v>20</v>
      </c>
      <c r="S7" t="s">
        <v>47</v>
      </c>
      <c r="V7" t="s">
        <v>20</v>
      </c>
      <c r="W7" t="s">
        <v>47</v>
      </c>
    </row>
    <row r="8" spans="1:32" ht="15">
      <c r="A8">
        <v>50</v>
      </c>
      <c r="B8">
        <f>_XLL.ENTROPY(Fluid,"Tv",A8-273.15,$B$6)</f>
        <v>4.93934933981765</v>
      </c>
      <c r="C8">
        <f>_XLL.ENTROPY(Fluid,"Tv",A8-273.15,$C$6)</f>
        <v>5.553548464666703</v>
      </c>
      <c r="D8">
        <f>_XLL.ENTROPY(Fluid,"PT",$D$6,A8-273.15)</f>
        <v>5.045942525369879</v>
      </c>
      <c r="F8" s="53">
        <v>0.005</v>
      </c>
      <c r="G8">
        <f>_XLL.PRESSURE(Fluid,"vs",F8,G$6)</f>
        <v>1033.458835269875</v>
      </c>
      <c r="H8">
        <f>_XLL.PRESSURE(Fluid,"vs",F8,H$6)</f>
        <v>2675.950506013682</v>
      </c>
      <c r="J8" s="1">
        <f>s_3_GM</f>
        <v>6.8418107413291445</v>
      </c>
      <c r="K8" s="6">
        <f>_XLL.TEMPERATURE(Fluid,"vs",$B$6,J8)+273.15</f>
        <v>673.8488142235359</v>
      </c>
      <c r="L8" s="6"/>
      <c r="M8" s="6"/>
      <c r="N8" s="1">
        <f>s_5_GM</f>
        <v>7.795543420918945</v>
      </c>
      <c r="O8" s="6">
        <f>_XLL.TEMPERATURE(Fluid,"vs",$C$6,N8)+273.15</f>
        <v>1020.4755023511261</v>
      </c>
      <c r="P8" s="6"/>
      <c r="Q8" s="6"/>
      <c r="R8" s="6">
        <f>S3</f>
        <v>1.013</v>
      </c>
      <c r="S8" s="8">
        <f>_XLL.SPECVOLUME(Fluid,"Ps",R8,T$3)</f>
        <v>0.8305436186256386</v>
      </c>
      <c r="T8" s="1"/>
      <c r="V8" s="6">
        <f>W3</f>
        <v>58.744669964182165</v>
      </c>
      <c r="W8" s="8">
        <f>_XLL.SPECVOLUME(Fluid,"Ps",V8,X$3)</f>
        <v>0.09771101401149097</v>
      </c>
      <c r="X8" s="1"/>
      <c r="Z8" s="6"/>
      <c r="AA8" s="6"/>
      <c r="AE8" s="6"/>
      <c r="AF8" s="6"/>
    </row>
    <row r="9" spans="1:31" ht="15">
      <c r="A9">
        <f>A8+25</f>
        <v>75</v>
      </c>
      <c r="B9">
        <f>_XLL.ENTROPY(Fluid,"Tv",A9-273.15,$B$6)</f>
        <v>5.2398767758411235</v>
      </c>
      <c r="C9">
        <f>_XLL.ENTROPY(Fluid,"Tv",A9-273.15,$C$6)</f>
        <v>5.854075900690177</v>
      </c>
      <c r="D9">
        <f>_XLL.ENTROPY(Fluid,"PT",$D$6,A9-273.15)</f>
        <v>5.462838473173383</v>
      </c>
      <c r="F9">
        <v>0.01</v>
      </c>
      <c r="G9">
        <f>_XLL.PRESSURE(Fluid,"vs",F9,G$6)</f>
        <v>417.5708162715692</v>
      </c>
      <c r="H9">
        <f>_XLL.PRESSURE(Fluid,"vs",F9,H$6)</f>
        <v>1104.6243701203907</v>
      </c>
      <c r="J9" s="1">
        <f aca="true" t="shared" si="0" ref="J9:J40">J8+(s_4_GM-s_3_GM)/100</f>
        <v>6.851348068125042</v>
      </c>
      <c r="K9" s="6">
        <f>_XLL.TEMPERATURE(Fluid,"vs",$B$6,J9)+273.15</f>
        <v>682.1232279469459</v>
      </c>
      <c r="L9" s="6"/>
      <c r="M9" s="6"/>
      <c r="N9" s="1">
        <f aca="true" t="shared" si="1" ref="N9:N40">N8-(s_5_GM-s_2)/100</f>
        <v>7.786006094123048</v>
      </c>
      <c r="O9" s="6">
        <f>_XLL.TEMPERATURE(Fluid,"vs",$C$6,N9)+273.15</f>
        <v>1009.1673838645269</v>
      </c>
      <c r="P9" s="6"/>
      <c r="Q9" s="6"/>
      <c r="R9" s="6">
        <f>R8+(S$4-S$3)/100</f>
        <v>1.2007951310051839</v>
      </c>
      <c r="S9" s="8">
        <f>_XLL.SPECVOLUME(Fluid,"Ps",R9,T$3)</f>
        <v>0.7355505341908898</v>
      </c>
      <c r="T9" s="1"/>
      <c r="V9" s="6">
        <f>V8+(W$4-W$3)/100</f>
        <v>58.192486497829705</v>
      </c>
      <c r="W9" s="8">
        <f>_XLL.SPECVOLUME(Fluid,"Ps",V9,X$3)</f>
        <v>0.09842472122647011</v>
      </c>
      <c r="X9" s="1"/>
      <c r="Z9" s="8"/>
      <c r="AE9" s="8"/>
    </row>
    <row r="10" spans="1:31" ht="15">
      <c r="A10">
        <f aca="true" t="shared" si="2" ref="A10:A73">A9+25</f>
        <v>100</v>
      </c>
      <c r="B10">
        <f>_XLL.ENTROPY(Fluid,"Tv",A10-273.15,$B$6)</f>
        <v>5.451271988757603</v>
      </c>
      <c r="C10">
        <f>_XLL.ENTROPY(Fluid,"Tv",A10-273.15,$C$6)</f>
        <v>6.065471113606653</v>
      </c>
      <c r="D10">
        <f>_XLL.ENTROPY(Fluid,"PT",$D$6,A10-273.15)</f>
        <v>5.756798459155557</v>
      </c>
      <c r="F10">
        <v>0.02</v>
      </c>
      <c r="G10">
        <f>_XLL.PRESSURE(Fluid,"vs",F10,G$6)</f>
        <v>167.3171023951367</v>
      </c>
      <c r="H10">
        <f>_XLL.PRESSURE(Fluid,"vs",F10,H$6)</f>
        <v>454.52685597473675</v>
      </c>
      <c r="J10" s="1">
        <f t="shared" si="0"/>
        <v>6.86088539492094</v>
      </c>
      <c r="K10" s="6">
        <f>_XLL.TEMPERATURE(Fluid,"vs",$B$6,J10)+273.15</f>
        <v>690.477743992787</v>
      </c>
      <c r="L10" s="6"/>
      <c r="M10" s="6"/>
      <c r="N10" s="1">
        <f t="shared" si="1"/>
        <v>7.77646876732715</v>
      </c>
      <c r="O10" s="6">
        <f>_XLL.TEMPERATURE(Fluid,"vs",$C$6,N10)+273.15</f>
        <v>997.9607095446994</v>
      </c>
      <c r="P10" s="6"/>
      <c r="Q10" s="6"/>
      <c r="R10" s="6">
        <f aca="true" t="shared" si="3" ref="R10:R73">R9+(S$4-S$3)/100</f>
        <v>1.3885902620103678</v>
      </c>
      <c r="S10" s="8">
        <f>_XLL.SPECVOLUME(Fluid,"Ps",R10,T$3)</f>
        <v>0.6630260190338779</v>
      </c>
      <c r="T10" s="1"/>
      <c r="V10" s="6">
        <f aca="true" t="shared" si="4" ref="V10:V73">V9+(W$4-W$3)/100</f>
        <v>57.640303031477245</v>
      </c>
      <c r="W10" s="8">
        <f>_XLL.SPECVOLUME(Fluid,"Ps",V10,X$3)</f>
        <v>0.0991504714341882</v>
      </c>
      <c r="X10" s="1"/>
      <c r="Z10" s="8"/>
      <c r="AE10" s="8"/>
    </row>
    <row r="11" spans="1:31" ht="15">
      <c r="A11">
        <f t="shared" si="2"/>
        <v>125</v>
      </c>
      <c r="B11">
        <f>_XLL.ENTROPY(Fluid,"Tv",A11-273.15,$B$6)</f>
        <v>5.614055459378954</v>
      </c>
      <c r="C11">
        <f>_XLL.ENTROPY(Fluid,"Tv",A11-273.15,$C$6)</f>
        <v>6.2282545842280035</v>
      </c>
      <c r="D11">
        <f>_XLL.ENTROPY(Fluid,"PT",$D$6,A11-273.15)</f>
        <v>5.983624143176978</v>
      </c>
      <c r="F11">
        <v>0.03</v>
      </c>
      <c r="G11">
        <f>_XLL.PRESSURE(Fluid,"vs",F11,G$6)</f>
        <v>97.55272510882824</v>
      </c>
      <c r="H11">
        <f>_XLL.PRESSURE(Fluid,"vs",F11,H$6)</f>
        <v>269.96169823502487</v>
      </c>
      <c r="J11" s="1">
        <f t="shared" si="0"/>
        <v>6.870422721716838</v>
      </c>
      <c r="K11" s="6">
        <f>_XLL.TEMPERATURE(Fluid,"vs",$B$6,J11)+273.15</f>
        <v>698.9126629572463</v>
      </c>
      <c r="L11" s="6"/>
      <c r="M11" s="6"/>
      <c r="N11" s="1">
        <f t="shared" si="1"/>
        <v>7.766931440531252</v>
      </c>
      <c r="O11" s="6">
        <f>_XLL.TEMPERATURE(Fluid,"vs",$C$6,N11)+273.15</f>
        <v>986.8520677890455</v>
      </c>
      <c r="P11" s="6"/>
      <c r="Q11" s="6"/>
      <c r="R11" s="6">
        <f t="shared" si="3"/>
        <v>1.5763853930155518</v>
      </c>
      <c r="S11" s="8">
        <f>_XLL.SPECVOLUME(Fluid,"Ps",R11,T$3)</f>
        <v>0.6055688214415523</v>
      </c>
      <c r="T11" s="1"/>
      <c r="V11" s="6">
        <f t="shared" si="4"/>
        <v>57.088119565124785</v>
      </c>
      <c r="W11" s="8">
        <f>_XLL.SPECVOLUME(Fluid,"Ps",V11,X$3)</f>
        <v>0.09988858564494077</v>
      </c>
      <c r="X11" s="1"/>
      <c r="Z11" s="8"/>
      <c r="AE11" s="8"/>
    </row>
    <row r="12" spans="1:31" ht="15">
      <c r="A12">
        <f t="shared" si="2"/>
        <v>150</v>
      </c>
      <c r="B12">
        <f>_XLL.ENTROPY(Fluid,"Tv",A12-273.15,$B$6)</f>
        <v>5.746267120442761</v>
      </c>
      <c r="C12">
        <f>_XLL.ENTROPY(Fluid,"Tv",A12-273.15,$C$6)</f>
        <v>6.36046624529181</v>
      </c>
      <c r="D12">
        <f>_XLL.ENTROPY(Fluid,"PT",$D$6,A12-273.15)</f>
        <v>6.1681621026207445</v>
      </c>
      <c r="F12">
        <v>0.04</v>
      </c>
      <c r="G12">
        <f>_XLL.PRESSURE(Fluid,"vs",F12,G$6)</f>
        <v>66.3769543729118</v>
      </c>
      <c r="H12">
        <f>_XLL.PRESSURE(Fluid,"vs",F12,H$6)</f>
        <v>186.40016672979448</v>
      </c>
      <c r="J12" s="1">
        <f t="shared" si="0"/>
        <v>6.879960048512736</v>
      </c>
      <c r="K12" s="6">
        <f>_XLL.TEMPERATURE(Fluid,"vs",$B$6,J12)+273.15</f>
        <v>707.4282895361085</v>
      </c>
      <c r="L12" s="6"/>
      <c r="M12" s="6"/>
      <c r="N12" s="1">
        <f t="shared" si="1"/>
        <v>7.757394113735354</v>
      </c>
      <c r="O12" s="6">
        <f>_XLL.TEMPERATURE(Fluid,"vs",$C$6,N12)+273.15</f>
        <v>975.8410497837102</v>
      </c>
      <c r="P12" s="6"/>
      <c r="Q12" s="6"/>
      <c r="R12" s="6">
        <f t="shared" si="3"/>
        <v>1.7641805240207358</v>
      </c>
      <c r="S12" s="8">
        <f>_XLL.SPECVOLUME(Fluid,"Ps",R12,T$3)</f>
        <v>0.558754271801934</v>
      </c>
      <c r="T12" s="1"/>
      <c r="V12" s="6">
        <f t="shared" si="4"/>
        <v>56.535936098772325</v>
      </c>
      <c r="W12" s="8">
        <f>_XLL.SPECVOLUME(Fluid,"Ps",V12,X$3)</f>
        <v>0.10063939663054026</v>
      </c>
      <c r="X12" s="1"/>
      <c r="Z12" s="8"/>
      <c r="AE12" s="8"/>
    </row>
    <row r="13" spans="1:31" ht="15">
      <c r="A13">
        <f t="shared" si="2"/>
        <v>175</v>
      </c>
      <c r="B13">
        <f>_XLL.ENTROPY(Fluid,"Tv",A13-273.15,$B$6)</f>
        <v>5.857522591235476</v>
      </c>
      <c r="C13">
        <f>_XLL.ENTROPY(Fluid,"Tv",A13-273.15,$C$6)</f>
        <v>6.471721716084526</v>
      </c>
      <c r="D13">
        <f>_XLL.ENTROPY(Fluid,"PT",$D$6,A13-273.15)</f>
        <v>6.323658828314716</v>
      </c>
      <c r="F13">
        <v>0.05</v>
      </c>
      <c r="G13">
        <f>_XLL.PRESSURE(Fluid,"vs",F13,G$6)</f>
        <v>49.16517940115473</v>
      </c>
      <c r="H13">
        <f>_XLL.PRESSURE(Fluid,"vs",F13,H$6)</f>
        <v>139.78862945624323</v>
      </c>
      <c r="J13" s="1">
        <f t="shared" si="0"/>
        <v>6.8894973753086335</v>
      </c>
      <c r="K13" s="6">
        <f>_XLL.TEMPERATURE(Fluid,"vs",$B$6,J13)+273.15</f>
        <v>716.0249334739793</v>
      </c>
      <c r="L13" s="6"/>
      <c r="M13" s="6"/>
      <c r="N13" s="1">
        <f t="shared" si="1"/>
        <v>7.747856786939456</v>
      </c>
      <c r="O13" s="6">
        <f>_XLL.TEMPERATURE(Fluid,"vs",$C$6,N13)+273.15</f>
        <v>964.9265980474911</v>
      </c>
      <c r="P13" s="6"/>
      <c r="Q13" s="6"/>
      <c r="R13" s="6">
        <f t="shared" si="3"/>
        <v>1.9519756550259197</v>
      </c>
      <c r="S13" s="8">
        <f>_XLL.SPECVOLUME(Fluid,"Ps",R13,T$3)</f>
        <v>0.5197629121803946</v>
      </c>
      <c r="T13" s="1"/>
      <c r="V13" s="6">
        <f t="shared" si="4"/>
        <v>55.983752632419865</v>
      </c>
      <c r="W13" s="8">
        <f>_XLL.SPECVOLUME(Fluid,"Ps",V13,X$3)</f>
        <v>0.10140324947506088</v>
      </c>
      <c r="X13" s="1"/>
      <c r="Z13" s="8"/>
      <c r="AE13" s="8"/>
    </row>
    <row r="14" spans="1:31" ht="15">
      <c r="A14">
        <f t="shared" si="2"/>
        <v>200</v>
      </c>
      <c r="B14">
        <f>_XLL.ENTROPY(Fluid,"Tv",A14-273.15,$B$6)</f>
        <v>5.953555220589781</v>
      </c>
      <c r="C14">
        <f>_XLL.ENTROPY(Fluid,"Tv",A14-273.15,$C$6)</f>
        <v>6.567754345438833</v>
      </c>
      <c r="D14">
        <f>_XLL.ENTROPY(Fluid,"PT",$D$6,A14-273.15)</f>
        <v>6.458014975833462</v>
      </c>
      <c r="F14">
        <v>0.06</v>
      </c>
      <c r="G14">
        <f>_XLL.PRESSURE(Fluid,"vs",F14,G$6)</f>
        <v>38.431674990865076</v>
      </c>
      <c r="H14">
        <f>_XLL.PRESSURE(Fluid,"vs",F14,H$6)</f>
        <v>110.46243503648812</v>
      </c>
      <c r="J14" s="1">
        <f t="shared" si="0"/>
        <v>6.899034702104531</v>
      </c>
      <c r="K14" s="6">
        <f>_XLL.TEMPERATURE(Fluid,"vs",$B$6,J14)+273.15</f>
        <v>724.7029105530013</v>
      </c>
      <c r="L14" s="6"/>
      <c r="M14" s="6"/>
      <c r="N14" s="1">
        <f t="shared" si="1"/>
        <v>7.7383194601435585</v>
      </c>
      <c r="O14" s="6">
        <f>_XLL.TEMPERATURE(Fluid,"vs",$C$6,N14)+273.15</f>
        <v>954.1077092938013</v>
      </c>
      <c r="P14" s="6"/>
      <c r="Q14" s="6"/>
      <c r="R14" s="6">
        <f t="shared" si="3"/>
        <v>2.1397707860311037</v>
      </c>
      <c r="S14" s="8">
        <f>_XLL.SPECVOLUME(Fluid,"Ps",R14,T$3)</f>
        <v>0.48670693781290786</v>
      </c>
      <c r="T14" s="1"/>
      <c r="V14" s="6">
        <f t="shared" si="4"/>
        <v>55.431569166067405</v>
      </c>
      <c r="W14" s="8">
        <f>_XLL.SPECVOLUME(Fluid,"Ps",V14,X$3)</f>
        <v>0.10218050218298513</v>
      </c>
      <c r="X14" s="1"/>
      <c r="Z14" s="8"/>
      <c r="AE14" s="8"/>
    </row>
    <row r="15" spans="1:31" ht="15">
      <c r="A15">
        <f t="shared" si="2"/>
        <v>225</v>
      </c>
      <c r="B15">
        <f>_XLL.ENTROPY(Fluid,"Tv",A15-273.15,$B$6)</f>
        <v>6.038057659510344</v>
      </c>
      <c r="C15">
        <f>_XLL.ENTROPY(Fluid,"Tv",A15-273.15,$C$6)</f>
        <v>6.652256784359394</v>
      </c>
      <c r="D15">
        <f>_XLL.ENTROPY(Fluid,"PT",$D$6,A15-273.15)</f>
        <v>6.576321153468359</v>
      </c>
      <c r="F15">
        <v>0.07</v>
      </c>
      <c r="G15">
        <f>_XLL.PRESSURE(Fluid,"vs",F15,G$6)</f>
        <v>31.183119573480468</v>
      </c>
      <c r="H15">
        <f>_XLL.PRESSURE(Fluid,"vs",F15,H$6)</f>
        <v>90.49963766029282</v>
      </c>
      <c r="J15" s="1">
        <f t="shared" si="0"/>
        <v>6.908572028900429</v>
      </c>
      <c r="K15" s="6">
        <f>_XLL.TEMPERATURE(Fluid,"vs",$B$6,J15)+273.15</f>
        <v>733.4625436213813</v>
      </c>
      <c r="L15" s="6"/>
      <c r="M15" s="6"/>
      <c r="N15" s="1">
        <f t="shared" si="1"/>
        <v>7.728782133347661</v>
      </c>
      <c r="O15" s="6">
        <f>_XLL.TEMPERATURE(Fluid,"vs",$C$6,N15)+273.15</f>
        <v>943.3834312794778</v>
      </c>
      <c r="P15" s="6"/>
      <c r="Q15" s="6"/>
      <c r="R15" s="6">
        <f t="shared" si="3"/>
        <v>2.3275659170362877</v>
      </c>
      <c r="S15" s="8">
        <f>_XLL.SPECVOLUME(Fluid,"Ps",R15,T$3)</f>
        <v>0.4582712839669629</v>
      </c>
      <c r="T15" s="1"/>
      <c r="V15" s="6">
        <f t="shared" si="4"/>
        <v>54.879385699714945</v>
      </c>
      <c r="W15" s="8">
        <f>_XLL.SPECVOLUME(Fluid,"Ps",V15,X$3)</f>
        <v>0.10297152619182352</v>
      </c>
      <c r="X15" s="1"/>
      <c r="Z15" s="8"/>
      <c r="AE15" s="8"/>
    </row>
    <row r="16" spans="1:31" ht="15">
      <c r="A16">
        <f t="shared" si="2"/>
        <v>250</v>
      </c>
      <c r="B16">
        <f>_XLL.ENTROPY(Fluid,"Tv",A16-273.15,$B$6)</f>
        <v>6.11354640918642</v>
      </c>
      <c r="C16">
        <f>_XLL.ENTROPY(Fluid,"Tv",A16-273.15,$C$6)</f>
        <v>6.7277455340354715</v>
      </c>
      <c r="D16">
        <f>_XLL.ENTROPY(Fluid,"PT",$D$6,A16-273.15)</f>
        <v>6.682048377830171</v>
      </c>
      <c r="F16">
        <v>0.08</v>
      </c>
      <c r="G16">
        <f>_XLL.PRESSURE(Fluid,"vs",F16,G$6)</f>
        <v>26.004380697535154</v>
      </c>
      <c r="H16">
        <f>_XLL.PRESSURE(Fluid,"vs",F16,H$6)</f>
        <v>76.13265169745233</v>
      </c>
      <c r="J16" s="1">
        <f t="shared" si="0"/>
        <v>6.918109355696327</v>
      </c>
      <c r="K16" s="6">
        <f>_XLL.TEMPERATURE(Fluid,"vs",$B$6,J16)+273.15</f>
        <v>742.3041636621707</v>
      </c>
      <c r="L16" s="6"/>
      <c r="M16" s="6"/>
      <c r="N16" s="1">
        <f t="shared" si="1"/>
        <v>7.719244806551763</v>
      </c>
      <c r="O16" s="6">
        <f>_XLL.TEMPERATURE(Fluid,"vs",$C$6,N16)+273.15</f>
        <v>932.7528604471103</v>
      </c>
      <c r="P16" s="6"/>
      <c r="Q16" s="6"/>
      <c r="R16" s="6">
        <f t="shared" si="3"/>
        <v>2.5153610480414716</v>
      </c>
      <c r="S16" s="8">
        <f>_XLL.SPECVOLUME(Fluid,"Ps",R16,T$3)</f>
        <v>0.43350968090438</v>
      </c>
      <c r="T16" s="1"/>
      <c r="V16" s="6">
        <f t="shared" si="4"/>
        <v>54.327202233362485</v>
      </c>
      <c r="W16" s="8">
        <f>_XLL.SPECVOLUME(Fluid,"Ps",V16,X$3)</f>
        <v>0.10377670717853106</v>
      </c>
      <c r="X16" s="1"/>
      <c r="Z16" s="8"/>
      <c r="AE16" s="8"/>
    </row>
    <row r="17" spans="1:31" ht="15">
      <c r="A17">
        <f t="shared" si="2"/>
        <v>275</v>
      </c>
      <c r="B17">
        <f>_XLL.ENTROPY(Fluid,"Tv",A17-273.15,$B$6)</f>
        <v>6.181812106169804</v>
      </c>
      <c r="C17">
        <f>_XLL.ENTROPY(Fluid,"Tv",A17-273.15,$C$6)</f>
        <v>6.796011231018855</v>
      </c>
      <c r="D17">
        <f>_XLL.ENTROPY(Fluid,"PT",$D$6,A17-273.15)</f>
        <v>6.777668102470992</v>
      </c>
      <c r="F17">
        <v>0.09</v>
      </c>
      <c r="G17">
        <f>_XLL.PRESSURE(Fluid,"vs",F17,G$6)</f>
        <v>22.145675573130276</v>
      </c>
      <c r="H17">
        <f>_XLL.PRESSURE(Fluid,"vs",F17,H$6)</f>
        <v>65.35487473470323</v>
      </c>
      <c r="J17" s="1">
        <f t="shared" si="0"/>
        <v>6.927646682492225</v>
      </c>
      <c r="K17" s="6">
        <f>_XLL.TEMPERATURE(Fluid,"vs",$B$6,J17)+273.15</f>
        <v>751.2281109027654</v>
      </c>
      <c r="L17" s="6"/>
      <c r="M17" s="6"/>
      <c r="N17" s="1">
        <f t="shared" si="1"/>
        <v>7.709707479755865</v>
      </c>
      <c r="O17" s="6">
        <f>_XLL.TEMPERATURE(Fluid,"vs",$C$6,N17)+273.15</f>
        <v>922.2151391834127</v>
      </c>
      <c r="P17" s="6"/>
      <c r="Q17" s="6"/>
      <c r="R17" s="6">
        <f t="shared" si="3"/>
        <v>2.7031561790466556</v>
      </c>
      <c r="S17" s="8">
        <f>_XLL.SPECVOLUME(Fluid,"Ps",R17,T$3)</f>
        <v>0.4117225664477541</v>
      </c>
      <c r="T17" s="1"/>
      <c r="V17" s="6">
        <f t="shared" si="4"/>
        <v>53.775018767010025</v>
      </c>
      <c r="W17" s="8">
        <f>_XLL.SPECVOLUME(Fluid,"Ps",V17,X$3)</f>
        <v>0.10459644564703928</v>
      </c>
      <c r="X17" s="1"/>
      <c r="Z17" s="8"/>
      <c r="AE17" s="8"/>
    </row>
    <row r="18" spans="1:31" ht="15">
      <c r="A18">
        <f t="shared" si="2"/>
        <v>300</v>
      </c>
      <c r="B18">
        <f>_XLL.ENTROPY(Fluid,"Tv",A18-273.15,$B$6)</f>
        <v>6.244173048727941</v>
      </c>
      <c r="C18">
        <f>_XLL.ENTROPY(Fluid,"Tv",A18-273.15,$C$6)</f>
        <v>6.858372173576991</v>
      </c>
      <c r="D18">
        <f>_XLL.ENTROPY(Fluid,"PT",$D$6,A18-273.15)</f>
        <v>6.86500131575165</v>
      </c>
      <c r="F18">
        <v>0.1</v>
      </c>
      <c r="G18">
        <f>_XLL.PRESSURE(Fluid,"vs",F18,G$6)</f>
        <v>19.17534334115218</v>
      </c>
      <c r="H18">
        <f>_XLL.PRESSURE(Fluid,"vs",F18,H$6)</f>
        <v>57.0055802908393</v>
      </c>
      <c r="J18" s="1">
        <f t="shared" si="0"/>
        <v>6.9371840092881225</v>
      </c>
      <c r="K18" s="6">
        <f>_XLL.TEMPERATURE(Fluid,"vs",$B$6,J18)+273.15</f>
        <v>760.2347359657265</v>
      </c>
      <c r="L18" s="6"/>
      <c r="M18" s="6"/>
      <c r="N18" s="1">
        <f t="shared" si="1"/>
        <v>7.700170152959967</v>
      </c>
      <c r="O18" s="6">
        <f>_XLL.TEMPERATURE(Fluid,"vs",$C$6,N18)+273.15</f>
        <v>911.7694533999819</v>
      </c>
      <c r="P18" s="6"/>
      <c r="Q18" s="6"/>
      <c r="R18" s="6">
        <f t="shared" si="3"/>
        <v>2.8909513100518396</v>
      </c>
      <c r="S18" s="8">
        <f>_XLL.SPECVOLUME(Fluid,"Ps",R18,T$3)</f>
        <v>0.392380783856201</v>
      </c>
      <c r="T18" s="1"/>
      <c r="V18" s="6">
        <f t="shared" si="4"/>
        <v>53.222835300657565</v>
      </c>
      <c r="W18" s="8">
        <f>_XLL.SPECVOLUME(Fluid,"Ps",V18,X$3)</f>
        <v>0.10543115768533437</v>
      </c>
      <c r="X18" s="1"/>
      <c r="Z18" s="8"/>
      <c r="AE18" s="8"/>
    </row>
    <row r="19" spans="1:31" ht="15">
      <c r="A19">
        <f t="shared" si="2"/>
        <v>325</v>
      </c>
      <c r="B19">
        <f>_XLL.ENTROPY(Fluid,"Tv",A19-273.15,$B$6)</f>
        <v>6.301626894328121</v>
      </c>
      <c r="C19">
        <f>_XLL.ENTROPY(Fluid,"Tv",A19-273.15,$C$6)</f>
        <v>6.915826019177169</v>
      </c>
      <c r="D19">
        <f>_XLL.ENTROPY(Fluid,"PT",$D$6,A19-273.15)</f>
        <v>6.945427423538025</v>
      </c>
      <c r="F19">
        <v>0.11</v>
      </c>
      <c r="G19">
        <f>_XLL.PRESSURE(Fluid,"vs",F19,G$6)</f>
        <v>16.828601653098822</v>
      </c>
      <c r="H19">
        <f>_XLL.PRESSURE(Fluid,"vs",F19,H$6)</f>
        <v>50.36961064440461</v>
      </c>
      <c r="J19" s="1">
        <f t="shared" si="0"/>
        <v>6.94672133608402</v>
      </c>
      <c r="K19" s="6">
        <f>_XLL.TEMPERATURE(Fluid,"vs",$B$6,J19)+273.15</f>
        <v>769.324401061615</v>
      </c>
      <c r="L19" s="6"/>
      <c r="M19" s="6"/>
      <c r="N19" s="1">
        <f t="shared" si="1"/>
        <v>7.6906328261640695</v>
      </c>
      <c r="O19" s="6">
        <f>_XLL.TEMPERATURE(Fluid,"vs",$C$6,N19)+273.15</f>
        <v>901.4150301806867</v>
      </c>
      <c r="P19" s="6"/>
      <c r="Q19" s="6"/>
      <c r="R19" s="6">
        <f t="shared" si="3"/>
        <v>3.0787464410570236</v>
      </c>
      <c r="S19" s="8">
        <f>_XLL.SPECVOLUME(Fluid,"Ps",R19,T$3)</f>
        <v>0.37507612676973456</v>
      </c>
      <c r="T19" s="1"/>
      <c r="V19" s="6">
        <f t="shared" si="4"/>
        <v>52.670651834305104</v>
      </c>
      <c r="W19" s="8">
        <f>_XLL.SPECVOLUME(Fluid,"Ps",V19,X$3)</f>
        <v>0.1062812757409433</v>
      </c>
      <c r="X19" s="1"/>
      <c r="Z19" s="8"/>
      <c r="AE19" s="8"/>
    </row>
    <row r="20" spans="1:31" ht="15">
      <c r="A20">
        <f t="shared" si="2"/>
        <v>350</v>
      </c>
      <c r="B20">
        <f>_XLL.ENTROPY(Fluid,"Tv",A20-273.15,$B$6)</f>
        <v>6.35494597884026</v>
      </c>
      <c r="C20">
        <f>_XLL.ENTROPY(Fluid,"Tv",A20-273.15,$C$6)</f>
        <v>6.969145103689311</v>
      </c>
      <c r="D20">
        <f>_XLL.ENTROPY(Fluid,"PT",$D$6,A20-273.15)</f>
        <v>7.020015500765226</v>
      </c>
      <c r="F20">
        <v>0.12</v>
      </c>
      <c r="G20">
        <f>_XLL.PRESSURE(Fluid,"vs",F20,G$6)</f>
        <v>14.934688439743798</v>
      </c>
      <c r="H20">
        <f>_XLL.PRESSURE(Fluid,"vs",F20,H$6)</f>
        <v>44.98380903115826</v>
      </c>
      <c r="J20" s="1">
        <f t="shared" si="0"/>
        <v>6.956258662879918</v>
      </c>
      <c r="K20" s="6">
        <f>_XLL.TEMPERATURE(Fluid,"vs",$B$6,J20)+273.15</f>
        <v>778.4974812629522</v>
      </c>
      <c r="L20" s="6"/>
      <c r="M20" s="6"/>
      <c r="N20" s="1">
        <f t="shared" si="1"/>
        <v>7.681095499368172</v>
      </c>
      <c r="O20" s="6">
        <f>_XLL.TEMPERATURE(Fluid,"vs",$C$6,N20)+273.15</f>
        <v>891.1511355279338</v>
      </c>
      <c r="P20" s="6"/>
      <c r="Q20" s="6"/>
      <c r="R20" s="6">
        <f t="shared" si="3"/>
        <v>3.2665415720622075</v>
      </c>
      <c r="S20" s="8">
        <f>_XLL.SPECVOLUME(Fluid,"Ps",R20,T$3)</f>
        <v>0.35948827571302777</v>
      </c>
      <c r="T20" s="1"/>
      <c r="V20" s="6">
        <f t="shared" si="4"/>
        <v>52.118468367952644</v>
      </c>
      <c r="W20" s="8">
        <f>_XLL.SPECVOLUME(Fluid,"Ps",V20,X$3)</f>
        <v>0.10714724944632283</v>
      </c>
      <c r="X20" s="1"/>
      <c r="Z20" s="8"/>
      <c r="AE20" s="8"/>
    </row>
    <row r="21" spans="1:31" ht="15">
      <c r="A21">
        <f t="shared" si="2"/>
        <v>375</v>
      </c>
      <c r="B21">
        <f>_XLL.ENTROPY(Fluid,"Tv",A21-273.15,$B$6)</f>
        <v>6.404739670571821</v>
      </c>
      <c r="C21">
        <f>_XLL.ENTROPY(Fluid,"Tv",A21-273.15,$C$6)</f>
        <v>7.018938795420872</v>
      </c>
      <c r="D21">
        <f>_XLL.ENTROPY(Fluid,"PT",$D$6,A21-273.15)</f>
        <v>7.089610150995602</v>
      </c>
      <c r="F21">
        <v>0.13</v>
      </c>
      <c r="G21">
        <f>_XLL.PRESSURE(Fluid,"vs",F21,G$6)</f>
        <v>13.37891084778919</v>
      </c>
      <c r="H21">
        <f>_XLL.PRESSURE(Fluid,"vs",F21,H$6)</f>
        <v>40.53584438945066</v>
      </c>
      <c r="J21" s="1">
        <f t="shared" si="0"/>
        <v>6.965795989675816</v>
      </c>
      <c r="K21" s="6">
        <f>_XLL.TEMPERATURE(Fluid,"vs",$B$6,J21)+273.15</f>
        <v>787.7543657777575</v>
      </c>
      <c r="L21" s="6"/>
      <c r="M21" s="6"/>
      <c r="N21" s="1">
        <f t="shared" si="1"/>
        <v>7.671558172572274</v>
      </c>
      <c r="O21" s="6">
        <f>_XLL.TEMPERATURE(Fluid,"vs",$C$6,N21)+273.15</f>
        <v>880.9770722001758</v>
      </c>
      <c r="P21" s="6"/>
      <c r="Q21" s="6"/>
      <c r="R21" s="6">
        <f t="shared" si="3"/>
        <v>3.4543367030673915</v>
      </c>
      <c r="S21" s="8">
        <f>_XLL.SPECVOLUME(Fluid,"Ps",R21,T$3)</f>
        <v>0.34536209149455915</v>
      </c>
      <c r="T21" s="1"/>
      <c r="V21" s="6">
        <f t="shared" si="4"/>
        <v>51.566284901600184</v>
      </c>
      <c r="W21" s="8">
        <f>_XLL.SPECVOLUME(Fluid,"Ps",V21,X$3)</f>
        <v>0.10802954648537018</v>
      </c>
      <c r="X21" s="1"/>
      <c r="Z21" s="8"/>
      <c r="AE21" s="8"/>
    </row>
    <row r="22" spans="1:31" ht="15">
      <c r="A22">
        <f t="shared" si="2"/>
        <v>400</v>
      </c>
      <c r="B22">
        <f>_XLL.ENTROPY(Fluid,"Tv",A22-273.15,$B$6)</f>
        <v>6.451496559277329</v>
      </c>
      <c r="C22">
        <f>_XLL.ENTROPY(Fluid,"Tv",A22-273.15,$C$6)</f>
        <v>7.06569568412638</v>
      </c>
      <c r="D22">
        <f>_XLL.ENTROPY(Fluid,"PT",$D$6,A22-273.15)</f>
        <v>7.1548895993667365</v>
      </c>
      <c r="F22">
        <v>0.14</v>
      </c>
      <c r="G22">
        <f>_XLL.PRESSURE(Fluid,"vs",F22,G$6)</f>
        <v>12.081599975389409</v>
      </c>
      <c r="H22">
        <f>_XLL.PRESSURE(Fluid,"vs",F22,H$6)</f>
        <v>36.80792529055839</v>
      </c>
      <c r="J22" s="1">
        <f t="shared" si="0"/>
        <v>6.975333316471714</v>
      </c>
      <c r="K22" s="6">
        <f>_XLL.TEMPERATURE(Fluid,"vs",$B$6,J22)+273.15</f>
        <v>797.095458518138</v>
      </c>
      <c r="L22" s="6"/>
      <c r="M22" s="6"/>
      <c r="N22" s="1">
        <f t="shared" si="1"/>
        <v>7.662020845776376</v>
      </c>
      <c r="O22" s="6">
        <f>_XLL.TEMPERATURE(Fluid,"vs",$C$6,N22)+273.15</f>
        <v>870.892177634816</v>
      </c>
      <c r="P22" s="6"/>
      <c r="Q22" s="6"/>
      <c r="R22" s="6">
        <f t="shared" si="3"/>
        <v>3.6421318340725755</v>
      </c>
      <c r="S22" s="8">
        <f>_XLL.SPECVOLUME(Fluid,"Ps",R22,T$3)</f>
        <v>0.33249165121043633</v>
      </c>
      <c r="T22" s="1"/>
      <c r="V22" s="6">
        <f t="shared" si="4"/>
        <v>51.014101435247724</v>
      </c>
      <c r="W22" s="8">
        <f>_XLL.SPECVOLUME(Fluid,"Ps",V22,X$3)</f>
        <v>0.10892865352552446</v>
      </c>
      <c r="X22" s="1"/>
      <c r="Z22" s="8"/>
      <c r="AE22" s="8"/>
    </row>
    <row r="23" spans="1:31" ht="15">
      <c r="A23">
        <f t="shared" si="2"/>
        <v>425</v>
      </c>
      <c r="B23">
        <f>_XLL.ENTROPY(Fluid,"Tv",A23-273.15,$B$6)</f>
        <v>6.495613832513806</v>
      </c>
      <c r="C23">
        <f>_XLL.ENTROPY(Fluid,"Tv",A23-273.15,$C$6)</f>
        <v>7.109812957362856</v>
      </c>
      <c r="D23">
        <f>_XLL.ENTROPY(Fluid,"PT",$D$6,A23-273.15)</f>
        <v>7.216406142915084</v>
      </c>
      <c r="F23">
        <v>0.15</v>
      </c>
      <c r="G23">
        <f>_XLL.PRESSURE(Fluid,"vs",F23,G$6)</f>
        <v>10.985825770738414</v>
      </c>
      <c r="H23">
        <f>_XLL.PRESSURE(Fluid,"vs",F23,H$6)</f>
        <v>33.6438425297092</v>
      </c>
      <c r="J23" s="1">
        <f t="shared" si="0"/>
        <v>6.9848706432676115</v>
      </c>
      <c r="K23" s="6">
        <f>_XLL.TEMPERATURE(Fluid,"vs",$B$6,J23)+273.15</f>
        <v>806.5211818574807</v>
      </c>
      <c r="L23" s="6"/>
      <c r="M23" s="6"/>
      <c r="N23" s="1">
        <f t="shared" si="1"/>
        <v>7.652483518980478</v>
      </c>
      <c r="O23" s="6">
        <f>_XLL.TEMPERATURE(Fluid,"vs",$C$6,N23)+273.15</f>
        <v>860.8958219510613</v>
      </c>
      <c r="P23" s="6"/>
      <c r="Q23" s="6"/>
      <c r="R23" s="6">
        <f t="shared" si="3"/>
        <v>3.8299269650777594</v>
      </c>
      <c r="S23" s="8">
        <f>_XLL.SPECVOLUME(Fluid,"Ps",R23,T$3)</f>
        <v>0.3207087902372512</v>
      </c>
      <c r="T23" s="1"/>
      <c r="V23" s="6">
        <f t="shared" si="4"/>
        <v>50.461917968895264</v>
      </c>
      <c r="W23" s="8">
        <f>_XLL.SPECVOLUME(Fluid,"Ps",V23,X$3)</f>
        <v>0.10984507720394589</v>
      </c>
      <c r="X23" s="1"/>
      <c r="Z23" s="8"/>
      <c r="AE23" s="8"/>
    </row>
    <row r="24" spans="1:31" ht="15">
      <c r="A24">
        <f t="shared" si="2"/>
        <v>450</v>
      </c>
      <c r="B24">
        <f>_XLL.ENTROPY(Fluid,"Tv",A24-273.15,$B$6)</f>
        <v>6.537418242546872</v>
      </c>
      <c r="C24">
        <f>_XLL.ENTROPY(Fluid,"Tv",A24-273.15,$C$6)</f>
        <v>7.151617367395923</v>
      </c>
      <c r="D24">
        <f>_XLL.ENTROPY(Fluid,"PT",$D$6,A24-273.15)</f>
        <v>7.274615021350614</v>
      </c>
      <c r="F24">
        <v>0.16</v>
      </c>
      <c r="G24">
        <f>_XLL.PRESSURE(Fluid,"vs",F24,G$6)</f>
        <v>10.049910989956958</v>
      </c>
      <c r="H24">
        <f>_XLL.PRESSURE(Fluid,"vs",F24,H$6)</f>
        <v>30.928827488132267</v>
      </c>
      <c r="J24" s="1">
        <f t="shared" si="0"/>
        <v>6.994407970063509</v>
      </c>
      <c r="K24" s="6">
        <f>_XLL.TEMPERATURE(Fluid,"vs",$B$6,J24)+273.15</f>
        <v>816.0319748817114</v>
      </c>
      <c r="L24" s="6"/>
      <c r="M24" s="6"/>
      <c r="N24" s="1">
        <f t="shared" si="1"/>
        <v>7.6429461921845805</v>
      </c>
      <c r="O24" s="6">
        <f>_XLL.TEMPERATURE(Fluid,"vs",$C$6,N24)+273.15</f>
        <v>850.9874060278463</v>
      </c>
      <c r="P24" s="6"/>
      <c r="Q24" s="6"/>
      <c r="R24" s="6">
        <f t="shared" si="3"/>
        <v>4.017722096082943</v>
      </c>
      <c r="S24" s="8">
        <f>_XLL.SPECVOLUME(Fluid,"Ps",R24,T$3)</f>
        <v>0.3098747258730919</v>
      </c>
      <c r="T24" s="1"/>
      <c r="V24" s="6">
        <f t="shared" si="4"/>
        <v>49.909734502542804</v>
      </c>
      <c r="W24" s="8">
        <f>_XLL.SPECVOLUME(Fluid,"Ps",V24,X$3)</f>
        <v>0.11077934517510929</v>
      </c>
      <c r="X24" s="1"/>
      <c r="Z24" s="8"/>
      <c r="AE24" s="8"/>
    </row>
    <row r="25" spans="1:31" ht="15">
      <c r="A25">
        <f t="shared" si="2"/>
        <v>475</v>
      </c>
      <c r="B25">
        <f>_XLL.ENTROPY(Fluid,"Tv",A25-273.15,$B$6)</f>
        <v>6.577181396838875</v>
      </c>
      <c r="C25">
        <f>_XLL.ENTROPY(Fluid,"Tv",A25-273.15,$C$6)</f>
        <v>7.191380521687925</v>
      </c>
      <c r="D25">
        <f>_XLL.ENTROPY(Fluid,"PT",$D$6,A25-273.15)</f>
        <v>7.329895471581249</v>
      </c>
      <c r="F25">
        <v>0.17</v>
      </c>
      <c r="G25">
        <f>_XLL.PRESSURE(Fluid,"vs",F25,G$6)</f>
        <v>9.242700131552198</v>
      </c>
      <c r="H25">
        <f>_XLL.PRESSURE(Fluid,"vs",F25,H$6)</f>
        <v>28.57678696595707</v>
      </c>
      <c r="J25" s="1">
        <f t="shared" si="0"/>
        <v>7.003945296859407</v>
      </c>
      <c r="K25" s="6">
        <f>_XLL.TEMPERATURE(Fluid,"vs",$B$6,J25)+273.15</f>
        <v>825.6282968569618</v>
      </c>
      <c r="L25" s="6"/>
      <c r="M25" s="6"/>
      <c r="N25" s="1">
        <f t="shared" si="1"/>
        <v>7.633408865388683</v>
      </c>
      <c r="O25" s="6">
        <f>_XLL.TEMPERATURE(Fluid,"vs",$C$6,N25)+273.15</f>
        <v>841.1663596524575</v>
      </c>
      <c r="P25" s="6"/>
      <c r="Q25" s="6"/>
      <c r="R25" s="6">
        <f t="shared" si="3"/>
        <v>4.205517227088127</v>
      </c>
      <c r="S25" s="8">
        <f>_XLL.SPECVOLUME(Fluid,"Ps",R25,T$3)</f>
        <v>0.2998738329704425</v>
      </c>
      <c r="T25" s="1"/>
      <c r="V25" s="6">
        <f t="shared" si="4"/>
        <v>49.357551036190344</v>
      </c>
      <c r="W25" s="8">
        <f>_XLL.SPECVOLUME(Fluid,"Ps",V25,X$3)</f>
        <v>0.11173200722661457</v>
      </c>
      <c r="X25" s="1"/>
      <c r="Z25" s="8"/>
      <c r="AE25" s="8"/>
    </row>
    <row r="26" spans="1:31" ht="15">
      <c r="A26">
        <f t="shared" si="2"/>
        <v>500</v>
      </c>
      <c r="B26">
        <f>_XLL.ENTROPY(Fluid,"Tv",A26-273.15,$B$6)</f>
        <v>6.615131121923006</v>
      </c>
      <c r="C26">
        <f>_XLL.ENTROPY(Fluid,"Tv",A26-273.15,$C$6)</f>
        <v>7.229330246772055</v>
      </c>
      <c r="D26">
        <f>_XLL.ENTROPY(Fluid,"PT",$D$6,A26-273.15)</f>
        <v>7.382566375412483</v>
      </c>
      <c r="F26">
        <v>0.18</v>
      </c>
      <c r="G26">
        <f>_XLL.PRESSURE(Fluid,"vs",F26,G$6)</f>
        <v>8.540474181554584</v>
      </c>
      <c r="H26">
        <f>_XLL.PRESSURE(Fluid,"vs",F26,H$6)</f>
        <v>26.52195589886036</v>
      </c>
      <c r="J26" s="1">
        <f t="shared" si="0"/>
        <v>7.013482623655305</v>
      </c>
      <c r="K26" s="6">
        <f>_XLL.TEMPERATURE(Fluid,"vs",$B$6,J26)+273.15</f>
        <v>835.3106282481021</v>
      </c>
      <c r="L26" s="6"/>
      <c r="M26" s="6"/>
      <c r="N26" s="1">
        <f t="shared" si="1"/>
        <v>7.623871538592785</v>
      </c>
      <c r="O26" s="6">
        <f>_XLL.TEMPERATURE(Fluid,"vs",$C$6,N26)+273.15</f>
        <v>831.4321397358796</v>
      </c>
      <c r="P26" s="6"/>
      <c r="Q26" s="6"/>
      <c r="R26" s="6">
        <f t="shared" si="3"/>
        <v>4.393312358093311</v>
      </c>
      <c r="S26" s="8">
        <f>_XLL.SPECVOLUME(Fluid,"Ps",R26,T$3)</f>
        <v>0.29060894833583373</v>
      </c>
      <c r="T26" s="1"/>
      <c r="V26" s="6">
        <f t="shared" si="4"/>
        <v>48.805367569837884</v>
      </c>
      <c r="W26" s="8">
        <f>_XLL.SPECVOLUME(Fluid,"Ps",V26,X$3)</f>
        <v>0.11270363646748582</v>
      </c>
      <c r="X26" s="1"/>
      <c r="Z26" s="8"/>
      <c r="AE26" s="8"/>
    </row>
    <row r="27" spans="1:31" ht="15">
      <c r="A27">
        <f t="shared" si="2"/>
        <v>525</v>
      </c>
      <c r="B27">
        <f>_XLL.ENTROPY(Fluid,"Tv",A27-273.15,$B$6)</f>
        <v>6.65146005180975</v>
      </c>
      <c r="C27">
        <f>_XLL.ENTROPY(Fluid,"Tv",A27-273.15,$C$6)</f>
        <v>7.265659176658801</v>
      </c>
      <c r="D27">
        <f>_XLL.ENTROPY(Fluid,"PT",$D$6,A27-273.15)</f>
        <v>7.432898085514746</v>
      </c>
      <c r="F27">
        <v>0.19</v>
      </c>
      <c r="G27">
        <f>_XLL.PRESSURE(Fluid,"vs",F27,G$6)</f>
        <v>7.924882968020049</v>
      </c>
      <c r="H27">
        <f>_XLL.PRESSURE(Fluid,"vs",F27,H$6)</f>
        <v>24.71328837931063</v>
      </c>
      <c r="J27" s="1">
        <f t="shared" si="0"/>
        <v>7.023019950451203</v>
      </c>
      <c r="K27" s="6">
        <f>_XLL.TEMPERATURE(Fluid,"vs",$B$6,J27)+273.15</f>
        <v>845.0794722903222</v>
      </c>
      <c r="L27" s="6"/>
      <c r="M27" s="6"/>
      <c r="N27" s="1">
        <f t="shared" si="1"/>
        <v>7.614334211796887</v>
      </c>
      <c r="O27" s="6">
        <f>_XLL.TEMPERATURE(Fluid,"vs",$C$6,N27)+273.15</f>
        <v>821.7842285912376</v>
      </c>
      <c r="P27" s="6"/>
      <c r="Q27" s="6"/>
      <c r="R27" s="6">
        <f t="shared" si="3"/>
        <v>4.581107489098495</v>
      </c>
      <c r="S27" s="8">
        <f>_XLL.SPECVOLUME(Fluid,"Ps",R27,T$3)</f>
        <v>0.2819977831101663</v>
      </c>
      <c r="T27" s="1"/>
      <c r="V27" s="6">
        <f t="shared" si="4"/>
        <v>48.253184103485424</v>
      </c>
      <c r="W27" s="8">
        <f>_XLL.SPECVOLUME(Fluid,"Ps",V27,X$3)</f>
        <v>0.11369483059454508</v>
      </c>
      <c r="X27" s="1"/>
      <c r="Z27" s="8"/>
      <c r="AE27" s="8"/>
    </row>
    <row r="28" spans="1:31" ht="15">
      <c r="A28">
        <f t="shared" si="2"/>
        <v>550</v>
      </c>
      <c r="B28">
        <f>_XLL.ENTROPY(Fluid,"Tv",A28-273.15,$B$6)</f>
        <v>6.686332216624167</v>
      </c>
      <c r="C28">
        <f>_XLL.ENTROPY(Fluid,"Tv",A28-273.15,$C$6)</f>
        <v>7.300531341473216</v>
      </c>
      <c r="D28">
        <f>_XLL.ENTROPY(Fluid,"PT",$D$6,A28-273.15)</f>
        <v>7.481121497771079</v>
      </c>
      <c r="F28">
        <v>0.2</v>
      </c>
      <c r="G28">
        <f>_XLL.PRESSURE(Fluid,"vs",F28,G$6)</f>
        <v>7.381525873003118</v>
      </c>
      <c r="H28">
        <f>_XLL.PRESSURE(Fluid,"vs",F28,H$6)</f>
        <v>23.110597520937528</v>
      </c>
      <c r="J28" s="1">
        <f t="shared" si="0"/>
        <v>7.032557277247101</v>
      </c>
      <c r="K28" s="6">
        <f>_XLL.TEMPERATURE(Fluid,"vs",$B$6,J28)+273.15</f>
        <v>854.9353566161849</v>
      </c>
      <c r="L28" s="6"/>
      <c r="M28" s="6"/>
      <c r="N28" s="1">
        <f t="shared" si="1"/>
        <v>7.604796885000989</v>
      </c>
      <c r="O28" s="6">
        <f>_XLL.TEMPERATURE(Fluid,"vs",$C$6,N28)+273.15</f>
        <v>812.2221322722052</v>
      </c>
      <c r="P28" s="6"/>
      <c r="Q28" s="6"/>
      <c r="R28" s="6">
        <f t="shared" si="3"/>
        <v>4.768902620103679</v>
      </c>
      <c r="S28" s="8">
        <f>_XLL.SPECVOLUME(Fluid,"Ps",R28,T$3)</f>
        <v>0.273970145979839</v>
      </c>
      <c r="T28" s="1"/>
      <c r="V28" s="6">
        <f t="shared" si="4"/>
        <v>47.701000637132964</v>
      </c>
      <c r="W28" s="8">
        <f>_XLL.SPECVOLUME(Fluid,"Ps",V28,X$3)</f>
        <v>0.11470621324295374</v>
      </c>
      <c r="X28" s="1"/>
      <c r="Z28" s="8"/>
      <c r="AE28" s="8"/>
    </row>
    <row r="29" spans="1:31" ht="15">
      <c r="A29">
        <f t="shared" si="2"/>
        <v>575</v>
      </c>
      <c r="B29">
        <f>_XLL.ENTROPY(Fluid,"Tv",A29-273.15,$B$6)</f>
        <v>6.719888165462308</v>
      </c>
      <c r="C29">
        <f>_XLL.ENTROPY(Fluid,"Tv",A29-273.15,$C$6)</f>
        <v>7.334087290311359</v>
      </c>
      <c r="D29">
        <f>_XLL.ENTROPY(Fluid,"PT",$D$6,A29-273.15)</f>
        <v>7.527435105290391</v>
      </c>
      <c r="F29">
        <v>0.21</v>
      </c>
      <c r="G29">
        <f>_XLL.PRESSURE(Fluid,"vs",F29,G$6)</f>
        <v>6.898956697153299</v>
      </c>
      <c r="H29">
        <f>_XLL.PRESSURE(Fluid,"vs",F29,H$6)</f>
        <v>21.68184207012259</v>
      </c>
      <c r="J29" s="1">
        <f t="shared" si="0"/>
        <v>7.042094604042998</v>
      </c>
      <c r="K29" s="6">
        <f>_XLL.TEMPERATURE(Fluid,"vs",$B$6,J29)+273.15</f>
        <v>864.8788349408019</v>
      </c>
      <c r="L29" s="6"/>
      <c r="M29" s="6"/>
      <c r="N29" s="1">
        <f t="shared" si="1"/>
        <v>7.5952595582050915</v>
      </c>
      <c r="O29" s="6">
        <f>_XLL.TEMPERATURE(Fluid,"vs",$C$6,N29)+273.15</f>
        <v>802.7453789684066</v>
      </c>
      <c r="P29" s="6"/>
      <c r="Q29" s="6"/>
      <c r="R29" s="6">
        <f t="shared" si="3"/>
        <v>4.956697751108863</v>
      </c>
      <c r="S29" s="8">
        <f>_XLL.SPECVOLUME(Fluid,"Ps",R29,T$3)</f>
        <v>0.2664657712360197</v>
      </c>
      <c r="T29" s="1"/>
      <c r="V29" s="6">
        <f t="shared" si="4"/>
        <v>47.148817170780504</v>
      </c>
      <c r="W29" s="8">
        <f>_XLL.SPECVOLUME(Fluid,"Ps",V29,X$3)</f>
        <v>0.11573843542756262</v>
      </c>
      <c r="X29" s="1"/>
      <c r="Z29" s="8"/>
      <c r="AE29" s="8"/>
    </row>
    <row r="30" spans="1:31" ht="15">
      <c r="A30">
        <f t="shared" si="2"/>
        <v>600</v>
      </c>
      <c r="B30">
        <f>_XLL.ENTROPY(Fluid,"Tv",A30-273.15,$B$6)</f>
        <v>6.7522489981662455</v>
      </c>
      <c r="C30">
        <f>_XLL.ENTROPY(Fluid,"Tv",A30-273.15,$C$6)</f>
        <v>7.366448123015294</v>
      </c>
      <c r="D30">
        <f>_XLL.ENTROPY(Fluid,"PT",$D$6,A30-273.15)</f>
        <v>7.5720105500356825</v>
      </c>
      <c r="F30">
        <v>0.22</v>
      </c>
      <c r="G30">
        <f>_XLL.PRESSURE(Fluid,"vs",F30,G$6)</f>
        <v>6.46797258406822</v>
      </c>
      <c r="H30">
        <f>_XLL.PRESSURE(Fluid,"vs",F30,H$6)</f>
        <v>20.401182749774968</v>
      </c>
      <c r="J30" s="1">
        <f t="shared" si="0"/>
        <v>7.051631930838896</v>
      </c>
      <c r="K30" s="6">
        <f>_XLL.TEMPERATURE(Fluid,"vs",$B$6,J30)+273.15</f>
        <v>874.910488808199</v>
      </c>
      <c r="L30" s="6"/>
      <c r="M30" s="6"/>
      <c r="N30" s="1">
        <f t="shared" si="1"/>
        <v>7.585722231409194</v>
      </c>
      <c r="O30" s="6">
        <f>_XLL.TEMPERATURE(Fluid,"vs",$C$6,N30)+273.15</f>
        <v>793.3535174553133</v>
      </c>
      <c r="P30" s="6"/>
      <c r="Q30" s="6"/>
      <c r="R30" s="6">
        <f t="shared" si="3"/>
        <v>5.144492882114047</v>
      </c>
      <c r="S30" s="8">
        <f>_XLL.SPECVOLUME(Fluid,"Ps",R30,T$3)</f>
        <v>0.2594326021783126</v>
      </c>
      <c r="T30" s="1"/>
      <c r="V30" s="6">
        <f t="shared" si="4"/>
        <v>46.596633704428044</v>
      </c>
      <c r="W30" s="8">
        <f>_XLL.SPECVOLUME(Fluid,"Ps",V30,X$3)</f>
        <v>0.11679217708231962</v>
      </c>
      <c r="X30" s="1"/>
      <c r="Z30" s="8"/>
      <c r="AE30" s="8"/>
    </row>
    <row r="31" spans="1:31" ht="15">
      <c r="A31">
        <f t="shared" si="2"/>
        <v>625</v>
      </c>
      <c r="B31">
        <f>_XLL.ENTROPY(Fluid,"Tv",A31-273.15,$B$6)</f>
        <v>6.783519573519775</v>
      </c>
      <c r="C31">
        <f>_XLL.ENTROPY(Fluid,"Tv",A31-273.15,$C$6)</f>
        <v>7.397718698368825</v>
      </c>
      <c r="D31">
        <f>_XLL.ENTROPY(Fluid,"PT",$D$6,A31-273.15)</f>
        <v>7.614997040409321</v>
      </c>
      <c r="F31">
        <v>0.23</v>
      </c>
      <c r="G31">
        <f>_XLL.PRESSURE(Fluid,"vs",F31,G$6)</f>
        <v>6.081097231658512</v>
      </c>
      <c r="H31">
        <f>_XLL.PRESSURE(Fluid,"vs",F31,H$6)</f>
        <v>19.247566241984213</v>
      </c>
      <c r="J31" s="1">
        <f t="shared" si="0"/>
        <v>7.061169257634794</v>
      </c>
      <c r="K31" s="6">
        <f>_XLL.TEMPERATURE(Fluid,"vs",$B$6,J31)+273.15</f>
        <v>885.0309294021694</v>
      </c>
      <c r="L31" s="6"/>
      <c r="M31" s="6"/>
      <c r="N31" s="1">
        <f t="shared" si="1"/>
        <v>7.576184904613296</v>
      </c>
      <c r="O31" s="6">
        <f>_XLL.TEMPERATURE(Fluid,"vs",$C$6,N31)+273.15</f>
        <v>784.0461160962554</v>
      </c>
      <c r="P31" s="6"/>
      <c r="Q31" s="6"/>
      <c r="R31" s="6">
        <f t="shared" si="3"/>
        <v>5.332288013119231</v>
      </c>
      <c r="S31" s="8">
        <f>_XLL.SPECVOLUME(Fluid,"Ps",R31,T$3)</f>
        <v>0.25282542169978073</v>
      </c>
      <c r="T31" s="1"/>
      <c r="V31" s="6">
        <f t="shared" si="4"/>
        <v>46.044450238075584</v>
      </c>
      <c r="W31" s="8">
        <f>_XLL.SPECVOLUME(Fluid,"Ps",V31,X$3)</f>
        <v>0.1178681487056615</v>
      </c>
      <c r="X31" s="1"/>
      <c r="Z31" s="8"/>
      <c r="AE31" s="8"/>
    </row>
    <row r="32" spans="1:31" ht="15">
      <c r="A32">
        <f t="shared" si="2"/>
        <v>650</v>
      </c>
      <c r="B32">
        <f>_XLL.ENTROPY(Fluid,"Tv",A32-273.15,$B$6)</f>
        <v>6.813791087846769</v>
      </c>
      <c r="C32">
        <f>_XLL.ENTROPY(Fluid,"Tv",A32-273.15,$C$6)</f>
        <v>7.4279902126958195</v>
      </c>
      <c r="D32">
        <f>_XLL.ENTROPY(Fluid,"PT",$D$6,A32-273.15)</f>
        <v>7.656524901902398</v>
      </c>
      <c r="F32">
        <v>0.24</v>
      </c>
      <c r="G32">
        <f>_XLL.PRESSURE(Fluid,"vs",F32,G$6)</f>
        <v>5.732199438643694</v>
      </c>
      <c r="H32">
        <f>_XLL.PRESSURE(Fluid,"vs",F32,H$6)</f>
        <v>18.203677569471058</v>
      </c>
      <c r="J32" s="1">
        <f t="shared" si="0"/>
        <v>7.070706584430692</v>
      </c>
      <c r="K32" s="6">
        <f>_XLL.TEMPERATURE(Fluid,"vs",$B$6,J32)+273.15</f>
        <v>895.2407994254071</v>
      </c>
      <c r="L32" s="6"/>
      <c r="M32" s="6"/>
      <c r="N32" s="1">
        <f t="shared" si="1"/>
        <v>7.566647577817398</v>
      </c>
      <c r="O32" s="6">
        <f>_XLL.TEMPERATURE(Fluid,"vs",$C$6,N32)+273.15</f>
        <v>774.8227594304599</v>
      </c>
      <c r="P32" s="6"/>
      <c r="Q32" s="6"/>
      <c r="R32" s="6">
        <f t="shared" si="3"/>
        <v>5.520083144124415</v>
      </c>
      <c r="S32" s="8">
        <f>_XLL.SPECVOLUME(Fluid,"Ps",R32,T$3)</f>
        <v>0.24660475035857046</v>
      </c>
      <c r="T32" s="1"/>
      <c r="V32" s="6">
        <f t="shared" si="4"/>
        <v>45.49226677172312</v>
      </c>
      <c r="W32" s="8">
        <f>_XLL.SPECVOLUME(Fluid,"Ps",V32,X$3)</f>
        <v>0.11896709312055334</v>
      </c>
      <c r="X32" s="1"/>
      <c r="Z32" s="8"/>
      <c r="AE32" s="8"/>
    </row>
    <row r="33" spans="1:31" ht="15">
      <c r="A33">
        <f t="shared" si="2"/>
        <v>675</v>
      </c>
      <c r="B33">
        <f>_XLL.ENTROPY(Fluid,"Tv",A33-273.15,$B$6)</f>
        <v>6.84314316669703</v>
      </c>
      <c r="C33">
        <f>_XLL.ENTROPY(Fluid,"Tv",A33-273.15,$C$6)</f>
        <v>7.457342291546081</v>
      </c>
      <c r="D33">
        <f>_XLL.ENTROPY(Fluid,"PT",$D$6,A33-273.15)</f>
        <v>7.6967084572808036</v>
      </c>
      <c r="F33">
        <v>0.25</v>
      </c>
      <c r="G33">
        <f>_XLL.PRESSURE(Fluid,"vs",F33,G$6)</f>
        <v>5.416207715748984</v>
      </c>
      <c r="H33">
        <f>_XLL.PRESSURE(Fluid,"vs",F33,H$6)</f>
        <v>17.25515434847339</v>
      </c>
      <c r="J33" s="1">
        <f t="shared" si="0"/>
        <v>7.08024391122659</v>
      </c>
      <c r="K33" s="6">
        <f>_XLL.TEMPERATURE(Fluid,"vs",$B$6,J33)+273.15</f>
        <v>905.5407750509993</v>
      </c>
      <c r="L33" s="6"/>
      <c r="M33" s="6"/>
      <c r="N33" s="1">
        <f t="shared" si="1"/>
        <v>7.5571102510215</v>
      </c>
      <c r="O33" s="6">
        <f>_XLL.TEMPERATURE(Fluid,"vs",$C$6,N33)+273.15</f>
        <v>765.6830498641652</v>
      </c>
      <c r="P33" s="6"/>
      <c r="Q33" s="6"/>
      <c r="R33" s="6">
        <f t="shared" si="3"/>
        <v>5.707878275129599</v>
      </c>
      <c r="S33" s="8">
        <f>_XLL.SPECVOLUME(Fluid,"Ps",R33,T$3)</f>
        <v>0.24073595256671193</v>
      </c>
      <c r="T33" s="1"/>
      <c r="V33" s="6">
        <f t="shared" si="4"/>
        <v>44.94008330537066</v>
      </c>
      <c r="W33" s="8">
        <f>_XLL.SPECVOLUME(Fluid,"Ps",V33,X$3)</f>
        <v>0.12008978735866833</v>
      </c>
      <c r="X33" s="1"/>
      <c r="Z33" s="8"/>
      <c r="AE33" s="8"/>
    </row>
    <row r="34" spans="1:31" ht="15">
      <c r="A34">
        <f t="shared" si="2"/>
        <v>700</v>
      </c>
      <c r="B34">
        <f>_XLL.ENTROPY(Fluid,"Tv",A34-273.15,$B$6)</f>
        <v>6.871645575947685</v>
      </c>
      <c r="C34">
        <f>_XLL.ENTROPY(Fluid,"Tv",A34-273.15,$C$6)</f>
        <v>7.4858447007967355</v>
      </c>
      <c r="D34">
        <f>_XLL.ENTROPY(Fluid,"PT",$D$6,A34-273.15)</f>
        <v>7.735648382718377</v>
      </c>
      <c r="F34">
        <v>0.26</v>
      </c>
      <c r="G34">
        <f>_XLL.PRESSURE(Fluid,"vs",F34,G$6)</f>
        <v>5.128893911527307</v>
      </c>
      <c r="H34">
        <f>_XLL.PRESSURE(Fluid,"vs",F34,H$6)</f>
        <v>16.389989851180417</v>
      </c>
      <c r="J34" s="1">
        <f t="shared" si="0"/>
        <v>7.089781238022487</v>
      </c>
      <c r="K34" s="6">
        <f>_XLL.TEMPERATURE(Fluid,"vs",$B$6,J34)+273.15</f>
        <v>915.9315679509172</v>
      </c>
      <c r="L34" s="6"/>
      <c r="M34" s="6"/>
      <c r="N34" s="1">
        <f t="shared" si="1"/>
        <v>7.547572924225602</v>
      </c>
      <c r="O34" s="6">
        <f>_XLL.TEMPERATURE(Fluid,"vs",$C$6,N34)+273.15</f>
        <v>756.6266039178619</v>
      </c>
      <c r="P34" s="6"/>
      <c r="Q34" s="6"/>
      <c r="R34" s="6">
        <f t="shared" si="3"/>
        <v>5.895673406134783</v>
      </c>
      <c r="S34" s="8">
        <f>_XLL.SPECVOLUME(Fluid,"Ps",R34,T$3)</f>
        <v>0.23518850618328127</v>
      </c>
      <c r="T34" s="1"/>
      <c r="V34" s="6">
        <f t="shared" si="4"/>
        <v>44.3878998390182</v>
      </c>
      <c r="W34" s="8">
        <f>_XLL.SPECVOLUME(Fluid,"Ps",V34,X$3)</f>
        <v>0.12123704467910956</v>
      </c>
      <c r="X34" s="1"/>
      <c r="Z34" s="8"/>
      <c r="AE34" s="8"/>
    </row>
    <row r="35" spans="1:31" ht="15">
      <c r="A35">
        <f t="shared" si="2"/>
        <v>725</v>
      </c>
      <c r="B35">
        <f>_XLL.ENTROPY(Fluid,"Tv",A35-273.15,$B$6)</f>
        <v>6.899359632507883</v>
      </c>
      <c r="C35">
        <f>_XLL.ENTROPY(Fluid,"Tv",A35-273.15,$C$6)</f>
        <v>7.5135587573569325</v>
      </c>
      <c r="D35">
        <f>_XLL.ENTROPY(Fluid,"PT",$D$6,A35-273.15)</f>
        <v>7.773433650293224</v>
      </c>
      <c r="F35">
        <v>0.27</v>
      </c>
      <c r="G35">
        <f>_XLL.PRESSURE(Fluid,"vs",F35,G$6)</f>
        <v>4.866707336145787</v>
      </c>
      <c r="H35">
        <f>_XLL.PRESSURE(Fluid,"vs",F35,H$6)</f>
        <v>15.59807427096983</v>
      </c>
      <c r="J35" s="1">
        <f t="shared" si="0"/>
        <v>7.099318564818385</v>
      </c>
      <c r="K35" s="6">
        <f>_XLL.TEMPERATURE(Fluid,"vs",$B$6,J35)+273.15</f>
        <v>926.4139274065524</v>
      </c>
      <c r="L35" s="6"/>
      <c r="M35" s="6"/>
      <c r="N35" s="1">
        <f t="shared" si="1"/>
        <v>7.538035597429705</v>
      </c>
      <c r="O35" s="6">
        <f>_XLL.TEMPERATURE(Fluid,"vs",$C$6,N35)+273.15</f>
        <v>747.6530518314602</v>
      </c>
      <c r="P35" s="6"/>
      <c r="Q35" s="6"/>
      <c r="R35" s="6">
        <f t="shared" si="3"/>
        <v>6.083468537139967</v>
      </c>
      <c r="S35" s="8">
        <f>_XLL.SPECVOLUME(Fluid,"Ps",R35,T$3)</f>
        <v>0.22993540149486708</v>
      </c>
      <c r="T35" s="1"/>
      <c r="V35" s="6">
        <f t="shared" si="4"/>
        <v>43.83571637266574</v>
      </c>
      <c r="W35" s="8">
        <f>_XLL.SPECVOLUME(Fluid,"Ps",V35,X$3)</f>
        <v>0.122409716733095</v>
      </c>
      <c r="X35" s="1"/>
      <c r="Z35" s="8"/>
      <c r="AE35" s="8"/>
    </row>
    <row r="36" spans="1:31" ht="15">
      <c r="A36">
        <f t="shared" si="2"/>
        <v>750</v>
      </c>
      <c r="B36">
        <f>_XLL.ENTROPY(Fluid,"Tv",A36-273.15,$B$6)</f>
        <v>6.926339375770278</v>
      </c>
      <c r="C36">
        <f>_XLL.ENTROPY(Fluid,"Tv",A36-273.15,$C$6)</f>
        <v>7.540538500619329</v>
      </c>
      <c r="D36">
        <f>_XLL.ENTROPY(Fluid,"PT",$D$6,A36-273.15)</f>
        <v>7.810143141039787</v>
      </c>
      <c r="F36">
        <v>0.28</v>
      </c>
      <c r="G36">
        <f>_XLL.PRESSURE(Fluid,"vs",F36,G$6)</f>
        <v>4.626646199927696</v>
      </c>
      <c r="H36">
        <f>_XLL.PRESSURE(Fluid,"vs",F36,H$6)</f>
        <v>14.870838422590598</v>
      </c>
      <c r="J36" s="1">
        <f t="shared" si="0"/>
        <v>7.108855891614283</v>
      </c>
      <c r="K36" s="6">
        <f>_XLL.TEMPERATURE(Fluid,"vs",$B$6,J36)+273.15</f>
        <v>936.9886425069011</v>
      </c>
      <c r="L36" s="6"/>
      <c r="M36" s="6"/>
      <c r="N36" s="1">
        <f t="shared" si="1"/>
        <v>7.528498270633807</v>
      </c>
      <c r="O36" s="6">
        <f>_XLL.TEMPERATURE(Fluid,"vs",$C$6,N36)+273.15</f>
        <v>738.7620361696669</v>
      </c>
      <c r="P36" s="6"/>
      <c r="Q36" s="6"/>
      <c r="R36" s="6">
        <f t="shared" si="3"/>
        <v>6.271263668145151</v>
      </c>
      <c r="S36" s="8">
        <f>_XLL.SPECVOLUME(Fluid,"Ps",R36,T$3)</f>
        <v>0.2249526432297736</v>
      </c>
      <c r="T36" s="1"/>
      <c r="V36" s="6">
        <f t="shared" si="4"/>
        <v>43.28353290631328</v>
      </c>
      <c r="W36" s="8">
        <f>_XLL.SPECVOLUME(Fluid,"Ps",V36,X$3)</f>
        <v>0.12360869588714159</v>
      </c>
      <c r="X36" s="1"/>
      <c r="Z36" s="8"/>
      <c r="AE36" s="8"/>
    </row>
    <row r="37" spans="1:31" ht="15">
      <c r="A37">
        <f t="shared" si="2"/>
        <v>775</v>
      </c>
      <c r="B37">
        <f>_XLL.ENTROPY(Fluid,"Tv",A37-273.15,$B$6)</f>
        <v>6.952632546908419</v>
      </c>
      <c r="C37">
        <f>_XLL.ENTROPY(Fluid,"Tv",A37-273.15,$C$6)</f>
        <v>7.566831671757467</v>
      </c>
      <c r="D37">
        <f>_XLL.ENTROPY(Fluid,"PT",$D$6,A37-273.15)</f>
        <v>7.84584699341076</v>
      </c>
      <c r="F37">
        <v>0.29</v>
      </c>
      <c r="G37">
        <f>_XLL.PRESSURE(Fluid,"vs",F37,G$6)</f>
        <v>4.406156992693963</v>
      </c>
      <c r="H37">
        <f>_XLL.PRESSURE(Fluid,"vs",F37,H$6)</f>
        <v>14.200974275722949</v>
      </c>
      <c r="J37" s="1">
        <f t="shared" si="0"/>
        <v>7.118393218410181</v>
      </c>
      <c r="K37" s="6">
        <f>_XLL.TEMPERATURE(Fluid,"vs",$B$6,J37)+273.15</f>
        <v>947.6565444405882</v>
      </c>
      <c r="L37" s="6"/>
      <c r="M37" s="6"/>
      <c r="N37" s="1">
        <f t="shared" si="1"/>
        <v>7.518960943837909</v>
      </c>
      <c r="O37" s="6">
        <f>_XLL.TEMPERATURE(Fluid,"vs",$C$6,N37)+273.15</f>
        <v>729.9532106035498</v>
      </c>
      <c r="P37" s="6"/>
      <c r="Q37" s="6"/>
      <c r="R37" s="6">
        <f t="shared" si="3"/>
        <v>6.459058799150335</v>
      </c>
      <c r="S37" s="8">
        <f>_XLL.SPECVOLUME(Fluid,"Ps",R37,T$3)</f>
        <v>0.22021883674488815</v>
      </c>
      <c r="T37" s="1"/>
      <c r="V37" s="6">
        <f t="shared" si="4"/>
        <v>42.73134943996082</v>
      </c>
      <c r="W37" s="8">
        <f>_XLL.SPECVOLUME(Fluid,"Ps",V37,X$3)</f>
        <v>0.12483491771855446</v>
      </c>
      <c r="X37" s="1"/>
      <c r="Z37" s="8"/>
      <c r="AE37" s="8"/>
    </row>
    <row r="38" spans="1:31" ht="15">
      <c r="A38">
        <f t="shared" si="2"/>
        <v>800</v>
      </c>
      <c r="B38">
        <f>_XLL.ENTROPY(Fluid,"Tv",A38-273.15,$B$6)</f>
        <v>6.978281412644696</v>
      </c>
      <c r="C38">
        <f>_XLL.ENTROPY(Fluid,"Tv",A38-273.15,$C$6)</f>
        <v>7.592480537493748</v>
      </c>
      <c r="D38">
        <f>_XLL.ENTROPY(Fluid,"PT",$D$6,A38-273.15)</f>
        <v>7.880607737579832</v>
      </c>
      <c r="F38">
        <v>0.3</v>
      </c>
      <c r="G38">
        <f>_XLL.PRESSURE(Fluid,"vs",F38,G$6)</f>
        <v>4.203055011272728</v>
      </c>
      <c r="H38">
        <f>_XLL.PRESSURE(Fluid,"vs",F38,H$6)</f>
        <v>13.582213757919115</v>
      </c>
      <c r="J38" s="1">
        <f t="shared" si="0"/>
        <v>7.127930545206079</v>
      </c>
      <c r="K38" s="6">
        <f>_XLL.TEMPERATURE(Fluid,"vs",$B$6,J38)+273.15</f>
        <v>958.4185088879609</v>
      </c>
      <c r="L38" s="6"/>
      <c r="M38" s="6"/>
      <c r="N38" s="1">
        <f t="shared" si="1"/>
        <v>7.509423617042011</v>
      </c>
      <c r="O38" s="6">
        <f>_XLL.TEMPERATURE(Fluid,"vs",$C$6,N38)+273.15</f>
        <v>721.2262387345903</v>
      </c>
      <c r="P38" s="6"/>
      <c r="Q38" s="6"/>
      <c r="R38" s="6">
        <f t="shared" si="3"/>
        <v>6.646853930155519</v>
      </c>
      <c r="S38" s="8">
        <f>_XLL.SPECVOLUME(Fluid,"Ps",R38,T$3)</f>
        <v>0.21571483910798445</v>
      </c>
      <c r="T38" s="1"/>
      <c r="V38" s="6">
        <f t="shared" si="4"/>
        <v>42.17916597360836</v>
      </c>
      <c r="W38" s="8">
        <f>_XLL.SPECVOLUME(Fluid,"Ps",V38,X$3)</f>
        <v>0.12608936369840743</v>
      </c>
      <c r="X38" s="1"/>
      <c r="Z38" s="8"/>
      <c r="AE38" s="8"/>
    </row>
    <row r="39" spans="1:31" ht="15">
      <c r="A39">
        <f t="shared" si="2"/>
        <v>825</v>
      </c>
      <c r="B39">
        <f>_XLL.ENTROPY(Fluid,"Tv",A39-273.15,$B$6)</f>
        <v>7.003323462219597</v>
      </c>
      <c r="C39">
        <f>_XLL.ENTROPY(Fluid,"Tv",A39-273.15,$C$6)</f>
        <v>7.617522587068646</v>
      </c>
      <c r="D39">
        <f>_XLL.ENTROPY(Fluid,"PT",$D$6,A39-273.15)</f>
        <v>7.9144812551465415</v>
      </c>
      <c r="F39">
        <v>0.31</v>
      </c>
      <c r="G39">
        <f>_XLL.PRESSURE(Fluid,"vs",F39,G$6)</f>
        <v>4.015461056460939</v>
      </c>
      <c r="H39">
        <f>_XLL.PRESSURE(Fluid,"vs",F39,H$6)</f>
        <v>13.009152199106802</v>
      </c>
      <c r="J39" s="1">
        <f t="shared" si="0"/>
        <v>7.137467872001976</v>
      </c>
      <c r="K39" s="6">
        <f>_XLL.TEMPERATURE(Fluid,"vs",$B$6,J39)+273.15</f>
        <v>969.275458391632</v>
      </c>
      <c r="L39" s="6"/>
      <c r="M39" s="6"/>
      <c r="N39" s="1">
        <f t="shared" si="1"/>
        <v>7.499886290246113</v>
      </c>
      <c r="O39" s="6">
        <f>_XLL.TEMPERATURE(Fluid,"vs",$C$6,N39)+273.15</f>
        <v>712.5807929604479</v>
      </c>
      <c r="P39" s="6"/>
      <c r="Q39" s="6"/>
      <c r="R39" s="6">
        <f t="shared" si="3"/>
        <v>6.834649061160703</v>
      </c>
      <c r="S39" s="8">
        <f>_XLL.SPECVOLUME(Fluid,"Ps",R39,T$3)</f>
        <v>0.21142346723244115</v>
      </c>
      <c r="T39" s="1"/>
      <c r="V39" s="6">
        <f t="shared" si="4"/>
        <v>41.6269825072559</v>
      </c>
      <c r="W39" s="8">
        <f>_XLL.SPECVOLUME(Fluid,"Ps",V39,X$3)</f>
        <v>0.12737306407876972</v>
      </c>
      <c r="X39" s="1"/>
      <c r="Z39" s="8"/>
      <c r="AE39" s="8"/>
    </row>
    <row r="40" spans="1:31" ht="15">
      <c r="A40">
        <f t="shared" si="2"/>
        <v>850</v>
      </c>
      <c r="B40">
        <f>_XLL.ENTROPY(Fluid,"Tv",A40-273.15,$B$6)</f>
        <v>7.027792000285375</v>
      </c>
      <c r="C40">
        <f>_XLL.ENTROPY(Fluid,"Tv",A40-273.15,$C$6)</f>
        <v>7.641991125134428</v>
      </c>
      <c r="D40">
        <f>_XLL.ENTROPY(Fluid,"PT",$D$6,A40-273.15)</f>
        <v>7.947517595532382</v>
      </c>
      <c r="F40">
        <v>0.32</v>
      </c>
      <c r="G40">
        <f>_XLL.PRESSURE(Fluid,"vs",F40,G$6)</f>
        <v>3.8417506214053057</v>
      </c>
      <c r="H40">
        <f>_XLL.PRESSURE(Fluid,"vs",F40,H$6)</f>
        <v>12.4771063014251</v>
      </c>
      <c r="J40" s="1">
        <f t="shared" si="0"/>
        <v>7.147005198797874</v>
      </c>
      <c r="K40" s="6">
        <f>_XLL.TEMPERATURE(Fluid,"vs",$B$6,J40)+273.15</f>
        <v>980.2283656335998</v>
      </c>
      <c r="L40" s="6"/>
      <c r="M40" s="6"/>
      <c r="N40" s="1">
        <f t="shared" si="1"/>
        <v>7.490348963450216</v>
      </c>
      <c r="O40" s="6">
        <f>_XLL.TEMPERATURE(Fluid,"vs",$C$6,N40)+273.15</f>
        <v>704.0165533817782</v>
      </c>
      <c r="P40" s="6"/>
      <c r="Q40" s="6"/>
      <c r="R40" s="6">
        <f t="shared" si="3"/>
        <v>7.022444192165887</v>
      </c>
      <c r="S40" s="8">
        <f>_XLL.SPECVOLUME(Fluid,"Ps",R40,T$3)</f>
        <v>0.20732924988339888</v>
      </c>
      <c r="T40" s="1"/>
      <c r="V40" s="6">
        <f t="shared" si="4"/>
        <v>41.07479904090344</v>
      </c>
      <c r="W40" s="8">
        <f>_XLL.SPECVOLUME(Fluid,"Ps",V40,X$3)</f>
        <v>0.1286871010026717</v>
      </c>
      <c r="X40" s="1"/>
      <c r="Z40" s="8"/>
      <c r="AE40" s="8"/>
    </row>
    <row r="41" spans="1:31" ht="15">
      <c r="A41">
        <f t="shared" si="2"/>
        <v>875</v>
      </c>
      <c r="B41">
        <f>_XLL.ENTROPY(Fluid,"Tv",A41-273.15,$B$6)</f>
        <v>7.051716653834168</v>
      </c>
      <c r="C41">
        <f>_XLL.ENTROPY(Fluid,"Tv",A41-273.15,$C$6)</f>
        <v>7.66591577868322</v>
      </c>
      <c r="D41">
        <f>_XLL.ENTROPY(Fluid,"PT",$D$6,A41-273.15)</f>
        <v>7.979761674004932</v>
      </c>
      <c r="F41">
        <v>0.33</v>
      </c>
      <c r="G41">
        <f>_XLL.PRESSURE(Fluid,"vs",F41,G$6)</f>
        <v>3.6805127792280254</v>
      </c>
      <c r="H41">
        <f>_XLL.PRESSURE(Fluid,"vs",F41,H$6)</f>
        <v>11.981999046336428</v>
      </c>
      <c r="J41" s="1">
        <f aca="true" t="shared" si="5" ref="J41:J72">J40+(s_4_GM-s_3_GM)/100</f>
        <v>7.156542525593772</v>
      </c>
      <c r="K41" s="6">
        <f>_XLL.TEMPERATURE(Fluid,"vs",$B$6,J41)+273.15</f>
        <v>991.2782548523122</v>
      </c>
      <c r="L41" s="6"/>
      <c r="M41" s="6"/>
      <c r="N41" s="1">
        <f aca="true" t="shared" si="6" ref="N41:N72">N40-(s_5_GM-s_2)/100</f>
        <v>7.480811636654318</v>
      </c>
      <c r="O41" s="6">
        <f>_XLL.TEMPERATURE(Fluid,"vs",$C$6,N41)+273.15</f>
        <v>695.533206749601</v>
      </c>
      <c r="P41" s="6"/>
      <c r="Q41" s="6"/>
      <c r="R41" s="6">
        <f t="shared" si="3"/>
        <v>7.210239323171071</v>
      </c>
      <c r="S41" s="8">
        <f>_XLL.SPECVOLUME(Fluid,"Ps",R41,T$3)</f>
        <v>0.20341821674542654</v>
      </c>
      <c r="T41" s="1"/>
      <c r="V41" s="6">
        <f t="shared" si="4"/>
        <v>40.52261557455098</v>
      </c>
      <c r="W41" s="8">
        <f>_XLL.SPECVOLUME(Fluid,"Ps",V41,X$3)</f>
        <v>0.13003261185725232</v>
      </c>
      <c r="X41" s="1"/>
      <c r="Z41" s="8"/>
      <c r="AE41" s="8"/>
    </row>
    <row r="42" spans="1:31" ht="15">
      <c r="A42">
        <f t="shared" si="2"/>
        <v>900</v>
      </c>
      <c r="B42">
        <f>_XLL.ENTROPY(Fluid,"Tv",A42-273.15,$B$6)</f>
        <v>7.0751238076971426</v>
      </c>
      <c r="C42">
        <f>_XLL.ENTROPY(Fluid,"Tv",A42-273.15,$C$6)</f>
        <v>7.689322932546192</v>
      </c>
      <c r="D42">
        <f>_XLL.ENTROPY(Fluid,"PT",$D$6,A42-273.15)</f>
        <v>8.01125387134661</v>
      </c>
      <c r="F42">
        <v>0.34</v>
      </c>
      <c r="G42">
        <f>_XLL.PRESSURE(Fluid,"vs",F42,G$6)</f>
        <v>3.530516732603884</v>
      </c>
      <c r="H42">
        <f>_XLL.PRESSURE(Fluid,"vs",F42,H$6)</f>
        <v>11.520265791838083</v>
      </c>
      <c r="J42" s="1">
        <f t="shared" si="5"/>
        <v>7.16607985238967</v>
      </c>
      <c r="K42" s="6">
        <f>_XLL.TEMPERATURE(Fluid,"vs",$B$6,J42)+273.15</f>
        <v>1002.4252479526579</v>
      </c>
      <c r="L42" s="6"/>
      <c r="M42" s="6"/>
      <c r="N42" s="1">
        <f t="shared" si="6"/>
        <v>7.47127430985842</v>
      </c>
      <c r="O42" s="6">
        <f>_XLL.TEMPERATURE(Fluid,"vs",$C$6,N42)+273.15</f>
        <v>687.1304454527195</v>
      </c>
      <c r="P42" s="6"/>
      <c r="Q42" s="6"/>
      <c r="R42" s="6">
        <f t="shared" si="3"/>
        <v>7.398034454176255</v>
      </c>
      <c r="S42" s="8">
        <f>_XLL.SPECVOLUME(Fluid,"Ps",R42,T$3)</f>
        <v>0.19967771826227937</v>
      </c>
      <c r="T42" s="1"/>
      <c r="V42" s="6">
        <f t="shared" si="4"/>
        <v>39.97043210819852</v>
      </c>
      <c r="W42" s="8">
        <f>_XLL.SPECVOLUME(Fluid,"Ps",V42,X$3)</f>
        <v>0.1314107928927101</v>
      </c>
      <c r="X42" s="1"/>
      <c r="Z42" s="8"/>
      <c r="AE42" s="8"/>
    </row>
    <row r="43" spans="1:31" ht="15">
      <c r="A43">
        <f t="shared" si="2"/>
        <v>925</v>
      </c>
      <c r="B43">
        <f>_XLL.ENTROPY(Fluid,"Tv",A43-273.15,$B$6)</f>
        <v>7.098036980362169</v>
      </c>
      <c r="C43">
        <f>_XLL.ENTROPY(Fluid,"Tv",A43-273.15,$C$6)</f>
        <v>7.71223610521122</v>
      </c>
      <c r="D43">
        <f>_XLL.ENTROPY(Fluid,"PT",$D$6,A43-273.15)</f>
        <v>8.042030551343863</v>
      </c>
      <c r="F43">
        <v>0.35</v>
      </c>
      <c r="G43">
        <f>_XLL.PRESSURE(Fluid,"vs",F43,G$6)</f>
        <v>3.390684381358746</v>
      </c>
      <c r="H43">
        <f>_XLL.PRESSURE(Fluid,"vs",F43,H$6)</f>
        <v>11.088777167247226</v>
      </c>
      <c r="J43" s="1">
        <f t="shared" si="5"/>
        <v>7.175617179185568</v>
      </c>
      <c r="K43" s="6">
        <f>_XLL.TEMPERATURE(Fluid,"vs",$B$6,J43)+273.15</f>
        <v>1013.6729413965846</v>
      </c>
      <c r="L43" s="6"/>
      <c r="M43" s="6"/>
      <c r="N43" s="1">
        <f t="shared" si="6"/>
        <v>7.461736983062522</v>
      </c>
      <c r="O43" s="6">
        <f>_XLL.TEMPERATURE(Fluid,"vs",$C$6,N43)+273.15</f>
        <v>678.8079665448223</v>
      </c>
      <c r="P43" s="6"/>
      <c r="Q43" s="6"/>
      <c r="R43" s="6">
        <f>R42+(S$4-S$3)/100</f>
        <v>7.585829585181439</v>
      </c>
      <c r="S43" s="8">
        <f>_XLL.SPECVOLUME(Fluid,"Ps",R43,T$3)</f>
        <v>0.19609627105009828</v>
      </c>
      <c r="T43" s="1"/>
      <c r="V43" s="6">
        <f t="shared" si="4"/>
        <v>39.41824864184606</v>
      </c>
      <c r="W43" s="8">
        <f>_XLL.SPECVOLUME(Fluid,"Ps",V43,X$3)</f>
        <v>0.1328229031321343</v>
      </c>
      <c r="X43" s="1"/>
      <c r="Z43" s="8"/>
      <c r="AE43" s="8"/>
    </row>
    <row r="44" spans="1:31" ht="15">
      <c r="A44">
        <f t="shared" si="2"/>
        <v>950</v>
      </c>
      <c r="B44">
        <f>_XLL.ENTROPY(Fluid,"Tv",A44-273.15,$B$6)</f>
        <v>7.120477149663341</v>
      </c>
      <c r="C44">
        <f>_XLL.ENTROPY(Fluid,"Tv",A44-273.15,$C$6)</f>
        <v>7.734676274512392</v>
      </c>
      <c r="D44">
        <f>_XLL.ENTROPY(Fluid,"PT",$D$6,A44-273.15)</f>
        <v>8.072124509251442</v>
      </c>
      <c r="F44">
        <v>0.36</v>
      </c>
      <c r="G44">
        <f>_XLL.PRESSURE(Fluid,"vs",F44,G$6)</f>
        <v>3.2600677124354593</v>
      </c>
      <c r="H44">
        <f>_XLL.PRESSURE(Fluid,"vs",F44,H$6)</f>
        <v>10.684775379782803</v>
      </c>
      <c r="J44" s="1">
        <f t="shared" si="5"/>
        <v>7.185154505981465</v>
      </c>
      <c r="K44" s="6">
        <f>_XLL.TEMPERATURE(Fluid,"vs",$B$6,J44)+273.15</f>
        <v>1025.0214009781853</v>
      </c>
      <c r="L44" s="6"/>
      <c r="M44" s="6"/>
      <c r="N44" s="1">
        <f t="shared" si="6"/>
        <v>7.452199656266624</v>
      </c>
      <c r="O44" s="6">
        <f>_XLL.TEMPERATURE(Fluid,"vs",$C$6,N44)+273.15</f>
        <v>670.565470810929</v>
      </c>
      <c r="P44" s="6"/>
      <c r="Q44" s="6"/>
      <c r="R44" s="6">
        <f t="shared" si="3"/>
        <v>7.773624716186623</v>
      </c>
      <c r="S44" s="8">
        <f>_XLL.SPECVOLUME(Fluid,"Ps",R44,T$3)</f>
        <v>0.19266342470708803</v>
      </c>
      <c r="T44" s="1"/>
      <c r="V44" s="6">
        <f t="shared" si="4"/>
        <v>38.8660651754936</v>
      </c>
      <c r="W44" s="8">
        <f>_XLL.SPECVOLUME(Fluid,"Ps",V44,X$3)</f>
        <v>0.13427026860004646</v>
      </c>
      <c r="X44" s="1"/>
      <c r="Z44" s="8"/>
      <c r="AE44" s="8"/>
    </row>
    <row r="45" spans="1:31" ht="15">
      <c r="A45">
        <f t="shared" si="2"/>
        <v>975</v>
      </c>
      <c r="B45">
        <f>_XLL.ENTROPY(Fluid,"Tv",A45-273.15,$B$6)</f>
        <v>7.142463036157828</v>
      </c>
      <c r="C45">
        <f>_XLL.ENTROPY(Fluid,"Tv",A45-273.15,$C$6)</f>
        <v>7.7566621610068776</v>
      </c>
      <c r="D45">
        <f>_XLL.ENTROPY(Fluid,"PT",$D$6,A45-273.15)</f>
        <v>8.101565361993487</v>
      </c>
      <c r="F45">
        <v>0.37</v>
      </c>
      <c r="G45">
        <f>_XLL.PRESSURE(Fluid,"vs",F45,G$6)</f>
        <v>3.1378300511618544</v>
      </c>
      <c r="H45">
        <f>_XLL.PRESSURE(Fluid,"vs",F45,H$6)</f>
        <v>10.30582130225886</v>
      </c>
      <c r="J45" s="1">
        <f t="shared" si="5"/>
        <v>7.194691832777363</v>
      </c>
      <c r="K45" s="6">
        <f>_XLL.TEMPERATURE(Fluid,"vs",$B$6,J45)+273.15</f>
        <v>1036.4713346598996</v>
      </c>
      <c r="L45" s="6"/>
      <c r="M45" s="6"/>
      <c r="N45" s="1">
        <f t="shared" si="6"/>
        <v>7.442662329470727</v>
      </c>
      <c r="O45" s="6">
        <f>_XLL.TEMPERATURE(Fluid,"vs",$C$6,N45)+273.15</f>
        <v>662.4026618729032</v>
      </c>
      <c r="P45" s="6"/>
      <c r="Q45" s="6"/>
      <c r="R45" s="6">
        <f t="shared" si="3"/>
        <v>7.961419847191807</v>
      </c>
      <c r="S45" s="8">
        <f>_XLL.SPECVOLUME(Fluid,"Ps",R45,T$3)</f>
        <v>0.18936964662923186</v>
      </c>
      <c r="T45" s="1"/>
      <c r="V45" s="6">
        <f t="shared" si="4"/>
        <v>38.31388170914114</v>
      </c>
      <c r="W45" s="8">
        <f>_XLL.SPECVOLUME(Fluid,"Ps",V45,X$3)</f>
        <v>0.1357542869005787</v>
      </c>
      <c r="X45" s="1"/>
      <c r="Z45" s="8"/>
      <c r="AE45" s="8"/>
    </row>
    <row r="46" spans="1:31" ht="15">
      <c r="A46">
        <f t="shared" si="2"/>
        <v>1000</v>
      </c>
      <c r="B46">
        <f>_XLL.ENTROPY(Fluid,"Tv",A46-273.15,$B$6)</f>
        <v>7.1640113506199645</v>
      </c>
      <c r="C46">
        <f>_XLL.ENTROPY(Fluid,"Tv",A46-273.15,$C$6)</f>
        <v>7.778210475469016</v>
      </c>
      <c r="D46">
        <f>_XLL.ENTROPY(Fluid,"PT",$D$6,A46-273.15)</f>
        <v>8.130379888955169</v>
      </c>
      <c r="F46">
        <v>0.38</v>
      </c>
      <c r="G46">
        <f>_XLL.PRESSURE(Fluid,"vs",F46,G$6)</f>
        <v>3.0232304319968635</v>
      </c>
      <c r="H46">
        <f>_XLL.PRESSURE(Fluid,"vs",F46,H$6)</f>
        <v>9.949750282656723</v>
      </c>
      <c r="J46" s="1">
        <f t="shared" si="5"/>
        <v>7.204229159573261</v>
      </c>
      <c r="K46" s="6">
        <f>_XLL.TEMPERATURE(Fluid,"vs",$B$6,J46)+273.15</f>
        <v>1048.0234576957077</v>
      </c>
      <c r="L46" s="6"/>
      <c r="M46" s="6"/>
      <c r="N46" s="1">
        <f t="shared" si="6"/>
        <v>7.433125002674829</v>
      </c>
      <c r="O46" s="6">
        <f>_XLL.TEMPERATURE(Fluid,"vs",$C$6,N46)+273.15</f>
        <v>654.3192453337857</v>
      </c>
      <c r="P46" s="6"/>
      <c r="Q46" s="6"/>
      <c r="R46" s="6">
        <f t="shared" si="3"/>
        <v>8.14921497819699</v>
      </c>
      <c r="S46" s="8">
        <f>_XLL.SPECVOLUME(Fluid,"Ps",R46,T$3)</f>
        <v>0.18620622203753792</v>
      </c>
      <c r="T46" s="1"/>
      <c r="V46" s="6">
        <f t="shared" si="4"/>
        <v>37.76169824278868</v>
      </c>
      <c r="W46" s="8">
        <f>_XLL.SPECVOLUME(Fluid,"Ps",V46,X$3)</f>
        <v>0.137276432179718</v>
      </c>
      <c r="X46" s="1"/>
      <c r="Z46" s="8"/>
      <c r="AE46" s="8"/>
    </row>
    <row r="47" spans="1:31" ht="15">
      <c r="A47">
        <f t="shared" si="2"/>
        <v>1025</v>
      </c>
      <c r="B47">
        <f>_XLL.ENTROPY(Fluid,"Tv",A47-273.15,$B$6)</f>
        <v>7.185136600169362</v>
      </c>
      <c r="C47">
        <f>_XLL.ENTROPY(Fluid,"Tv",A47-273.15,$C$6)</f>
        <v>7.7993357250184125</v>
      </c>
      <c r="D47">
        <f>_XLL.ENTROPY(Fluid,"PT",$D$6,A47-273.15)</f>
        <v>8.158591919886346</v>
      </c>
      <c r="F47">
        <v>0.39</v>
      </c>
      <c r="G47">
        <f>_XLL.PRESSURE(Fluid,"vs",F47,G$6)</f>
        <v>2.915610503765738</v>
      </c>
      <c r="H47">
        <f>_XLL.PRESSURE(Fluid,"vs",F47,H$6)</f>
        <v>9.614635052043635</v>
      </c>
      <c r="J47" s="1">
        <f t="shared" si="5"/>
        <v>7.213766486369159</v>
      </c>
      <c r="K47" s="6">
        <f>_XLL.TEMPERATURE(Fluid,"vs",$B$6,J47)+273.15</f>
        <v>1059.678492781749</v>
      </c>
      <c r="L47" s="6"/>
      <c r="M47" s="6"/>
      <c r="N47" s="1">
        <f t="shared" si="6"/>
        <v>7.423587675878931</v>
      </c>
      <c r="O47" s="6">
        <f>_XLL.TEMPERATURE(Fluid,"vs",$C$6,N47)+273.15</f>
        <v>646.3149279607504</v>
      </c>
      <c r="P47" s="6"/>
      <c r="Q47" s="6"/>
      <c r="R47" s="6">
        <f t="shared" si="3"/>
        <v>8.337010109202176</v>
      </c>
      <c r="S47" s="8">
        <f>_XLL.SPECVOLUME(Fluid,"Ps",R47,T$3)</f>
        <v>0.18316516690938797</v>
      </c>
      <c r="T47" s="1"/>
      <c r="V47" s="6">
        <f t="shared" si="4"/>
        <v>37.20951477643622</v>
      </c>
      <c r="W47" s="8">
        <f>_XLL.SPECVOLUME(Fluid,"Ps",V47,X$3)</f>
        <v>0.13883826050998693</v>
      </c>
      <c r="X47" s="1"/>
      <c r="Z47" s="8"/>
      <c r="AE47" s="8"/>
    </row>
    <row r="48" spans="1:31" ht="15">
      <c r="A48">
        <f t="shared" si="2"/>
        <v>1050</v>
      </c>
      <c r="B48">
        <f>_XLL.ENTROPY(Fluid,"Tv",A48-273.15,$B$6)</f>
        <v>7.205852529645172</v>
      </c>
      <c r="C48">
        <f>_XLL.ENTROPY(Fluid,"Tv",A48-273.15,$C$6)</f>
        <v>7.820051654494223</v>
      </c>
      <c r="D48">
        <f>_XLL.ENTROPY(Fluid,"PT",$D$6,A48-273.15)</f>
        <v>8.186223848195896</v>
      </c>
      <c r="F48">
        <v>0.4</v>
      </c>
      <c r="G48">
        <f>_XLL.PRESSURE(Fluid,"vs",F48,G$6)</f>
        <v>2.8143835058596265</v>
      </c>
      <c r="H48">
        <f>_XLL.PRESSURE(Fluid,"vs",F48,H$6)</f>
        <v>9.298754442496342</v>
      </c>
      <c r="J48" s="1">
        <f t="shared" si="5"/>
        <v>7.223303813165057</v>
      </c>
      <c r="K48" s="6">
        <f>_XLL.TEMPERATURE(Fluid,"vs",$B$6,J48)+273.15</f>
        <v>1071.4371702082747</v>
      </c>
      <c r="L48" s="6"/>
      <c r="M48" s="6"/>
      <c r="N48" s="1">
        <f t="shared" si="6"/>
        <v>7.414050349083033</v>
      </c>
      <c r="O48" s="6">
        <f>_XLL.TEMPERATURE(Fluid,"vs",$C$6,N48)+273.15</f>
        <v>638.3894169064655</v>
      </c>
      <c r="P48" s="6"/>
      <c r="Q48" s="6"/>
      <c r="R48" s="6">
        <f t="shared" si="3"/>
        <v>8.52480524020736</v>
      </c>
      <c r="S48" s="8">
        <f>_XLL.SPECVOLUME(Fluid,"Ps",R48,T$3)</f>
        <v>0.18023915189987927</v>
      </c>
      <c r="T48" s="1"/>
      <c r="V48" s="6">
        <f t="shared" si="4"/>
        <v>36.65733131008376</v>
      </c>
      <c r="W48" s="8">
        <f>_XLL.SPECVOLUME(Fluid,"Ps",V48,X$3)</f>
        <v>0.14044141574040628</v>
      </c>
      <c r="X48" s="1"/>
      <c r="Z48" s="8"/>
      <c r="AE48" s="8"/>
    </row>
    <row r="49" spans="1:31" ht="15">
      <c r="A49">
        <f t="shared" si="2"/>
        <v>1075</v>
      </c>
      <c r="B49">
        <f>_XLL.ENTROPY(Fluid,"Tv",A49-273.15,$B$6)</f>
        <v>7.22617701629684</v>
      </c>
      <c r="C49">
        <f>_XLL.ENTROPY(Fluid,"Tv",A49-273.15,$C$6)</f>
        <v>7.840376141145889</v>
      </c>
      <c r="D49">
        <f>_XLL.ENTROPY(Fluid,"PT",$D$6,A49-273.15)</f>
        <v>8.21330158909882</v>
      </c>
      <c r="F49">
        <v>0.41</v>
      </c>
      <c r="G49">
        <f>_XLL.PRESSURE(Fluid,"vs",F49,G$6)</f>
        <v>2.719024945794106</v>
      </c>
      <c r="H49">
        <f>_XLL.PRESSURE(Fluid,"vs",F49,H$6)</f>
        <v>9.000566886053807</v>
      </c>
      <c r="J49" s="1">
        <f t="shared" si="5"/>
        <v>7.2328411399609545</v>
      </c>
      <c r="K49" s="6">
        <f>_XLL.TEMPERATURE(Fluid,"vs",$B$6,J49)+273.15</f>
        <v>1083.3002280128944</v>
      </c>
      <c r="L49" s="6"/>
      <c r="M49" s="6"/>
      <c r="N49" s="1">
        <f t="shared" si="6"/>
        <v>7.404513022287135</v>
      </c>
      <c r="O49" s="6">
        <f>_XLL.TEMPERATURE(Fluid,"vs",$C$6,N49)+273.15</f>
        <v>630.542418968681</v>
      </c>
      <c r="P49" s="6"/>
      <c r="Q49" s="6"/>
      <c r="R49" s="6">
        <f t="shared" si="3"/>
        <v>8.712600371212545</v>
      </c>
      <c r="S49" s="8">
        <f>_XLL.SPECVOLUME(Fluid,"Ps",R49,T$3)</f>
        <v>0.17742143565821197</v>
      </c>
      <c r="T49" s="1"/>
      <c r="V49" s="6">
        <f t="shared" si="4"/>
        <v>36.1051478437313</v>
      </c>
      <c r="W49" s="8">
        <f>_XLL.SPECVOLUME(Fluid,"Ps",V49,X$3)</f>
        <v>0.14208763585964368</v>
      </c>
      <c r="X49" s="1"/>
      <c r="Z49" s="8"/>
      <c r="AE49" s="8"/>
    </row>
    <row r="50" spans="1:31" ht="15">
      <c r="A50">
        <f t="shared" si="2"/>
        <v>1100</v>
      </c>
      <c r="B50">
        <f>_XLL.ENTROPY(Fluid,"Tv",A50-273.15,$B$6)</f>
        <v>7.246125965558275</v>
      </c>
      <c r="C50">
        <f>_XLL.ENTROPY(Fluid,"Tv",A50-273.15,$C$6)</f>
        <v>7.860325090407326</v>
      </c>
      <c r="D50">
        <f>_XLL.ENTROPY(Fluid,"PT",$D$6,A50-273.15)</f>
        <v>8.23984853155092</v>
      </c>
      <c r="F50">
        <v>0.42</v>
      </c>
      <c r="G50">
        <f>_XLL.PRESSURE(Fluid,"vs",F50,G$6)</f>
        <v>2.6290646816449317</v>
      </c>
      <c r="H50">
        <f>_XLL.PRESSURE(Fluid,"vs",F50,H$6)</f>
        <v>8.718687868042545</v>
      </c>
      <c r="J50" s="1">
        <f t="shared" si="5"/>
        <v>7.242378466756852</v>
      </c>
      <c r="K50" s="6">
        <f>_XLL.TEMPERATURE(Fluid,"vs",$B$6,J50)+273.15</f>
        <v>1095.2684116350913</v>
      </c>
      <c r="L50" s="6"/>
      <c r="M50" s="6"/>
      <c r="N50" s="1">
        <f t="shared" si="6"/>
        <v>7.394975695491238</v>
      </c>
      <c r="O50" s="6">
        <f>_XLL.TEMPERATURE(Fluid,"vs",$C$6,N50)+273.15</f>
        <v>622.7736398878698</v>
      </c>
      <c r="P50" s="6"/>
      <c r="Q50" s="6"/>
      <c r="R50" s="6">
        <f t="shared" si="3"/>
        <v>8.90039550221773</v>
      </c>
      <c r="S50" s="8">
        <f>_XLL.SPECVOLUME(Fluid,"Ps",R50,T$3)</f>
        <v>0.17470580620454546</v>
      </c>
      <c r="T50" s="1"/>
      <c r="V50" s="6">
        <f t="shared" si="4"/>
        <v>35.55296437737884</v>
      </c>
      <c r="W50" s="8">
        <f>_XLL.SPECVOLUME(Fluid,"Ps",V50,X$3)</f>
        <v>0.14377875992600547</v>
      </c>
      <c r="X50" s="1"/>
      <c r="Z50" s="8"/>
      <c r="AE50" s="8"/>
    </row>
    <row r="51" spans="1:31" ht="15">
      <c r="A51">
        <f t="shared" si="2"/>
        <v>1125</v>
      </c>
      <c r="B51">
        <f>_XLL.ENTROPY(Fluid,"Tv",A51-273.15,$B$6)</f>
        <v>7.265714247267063</v>
      </c>
      <c r="C51">
        <f>_XLL.ENTROPY(Fluid,"Tv",A51-273.15,$C$6)</f>
        <v>7.879913372116114</v>
      </c>
      <c r="D51">
        <f>_XLL.ENTROPY(Fluid,"PT",$D$6,A51-273.15)</f>
        <v>8.265886524316603</v>
      </c>
      <c r="F51">
        <v>0.43</v>
      </c>
      <c r="G51">
        <f>_XLL.PRESSURE(Fluid,"vs",F51,G$6)</f>
        <v>2.544080170183921</v>
      </c>
      <c r="H51">
        <f>_XLL.PRESSURE(Fluid,"vs",F51,H$6)</f>
        <v>8.451870666873036</v>
      </c>
      <c r="J51" s="1">
        <f t="shared" si="5"/>
        <v>7.25191579355275</v>
      </c>
      <c r="K51" s="6">
        <f>_XLL.TEMPERATURE(Fluid,"vs",$B$6,J51)+273.15</f>
        <v>1107.3424760719872</v>
      </c>
      <c r="L51" s="6"/>
      <c r="M51" s="6"/>
      <c r="N51" s="1">
        <f t="shared" si="6"/>
        <v>7.38543836869534</v>
      </c>
      <c r="O51" s="6">
        <f>_XLL.TEMPERATURE(Fluid,"vs",$C$6,N51)+273.15</f>
        <v>615.0827836827707</v>
      </c>
      <c r="P51" s="6"/>
      <c r="Q51" s="6"/>
      <c r="R51" s="6">
        <f t="shared" si="3"/>
        <v>9.088190633222915</v>
      </c>
      <c r="S51" s="8">
        <f>_XLL.SPECVOLUME(Fluid,"Ps",R51,T$3)</f>
        <v>0.172086529246053</v>
      </c>
      <c r="T51" s="1"/>
      <c r="V51" s="6">
        <f t="shared" si="4"/>
        <v>35.00078091102638</v>
      </c>
      <c r="W51" s="8">
        <f>_XLL.SPECVOLUME(Fluid,"Ps",V51,X$3)</f>
        <v>0.1455167356244698</v>
      </c>
      <c r="X51" s="1"/>
      <c r="Z51" s="8"/>
      <c r="AE51" s="8"/>
    </row>
    <row r="52" spans="1:31" ht="15">
      <c r="A52">
        <f t="shared" si="2"/>
        <v>1150</v>
      </c>
      <c r="B52">
        <f>_XLL.ENTROPY(Fluid,"Tv",A52-273.15,$B$6)</f>
        <v>7.284955786388195</v>
      </c>
      <c r="C52">
        <f>_XLL.ENTROPY(Fluid,"Tv",A52-273.15,$C$6)</f>
        <v>7.899154911237247</v>
      </c>
      <c r="D52">
        <f>_XLL.ENTROPY(Fluid,"PT",$D$6,A52-273.15)</f>
        <v>8.291436011062007</v>
      </c>
      <c r="F52">
        <v>0.44</v>
      </c>
      <c r="G52">
        <f>_XLL.PRESSURE(Fluid,"vs",F52,G$6)</f>
        <v>2.4636906867245836</v>
      </c>
      <c r="H52">
        <f>_XLL.PRESSURE(Fluid,"vs",F52,H$6)</f>
        <v>8.198989837772645</v>
      </c>
      <c r="J52" s="1">
        <f t="shared" si="5"/>
        <v>7.261453120348648</v>
      </c>
      <c r="K52" s="6">
        <f>_XLL.TEMPERATURE(Fluid,"vs",$B$6,J52)+273.15</f>
        <v>1119.5231829834852</v>
      </c>
      <c r="L52" s="6"/>
      <c r="M52" s="6"/>
      <c r="N52" s="1">
        <f t="shared" si="6"/>
        <v>7.375901041899442</v>
      </c>
      <c r="O52" s="6">
        <f>_XLL.TEMPERATURE(Fluid,"vs",$C$6,N52)+273.15</f>
        <v>607.4695520235598</v>
      </c>
      <c r="P52" s="6"/>
      <c r="Q52" s="6"/>
      <c r="R52" s="6">
        <f t="shared" si="3"/>
        <v>9.2759857642281</v>
      </c>
      <c r="S52" s="8">
        <f>_XLL.SPECVOLUME(Fluid,"Ps",R52,T$3)</f>
        <v>0.16955830248649764</v>
      </c>
      <c r="T52" s="1"/>
      <c r="V52" s="6">
        <f t="shared" si="4"/>
        <v>34.44859744467392</v>
      </c>
      <c r="W52" s="8">
        <f>_XLL.SPECVOLUME(Fluid,"Ps",V52,X$3)</f>
        <v>0.14730362751841705</v>
      </c>
      <c r="X52" s="1"/>
      <c r="Z52" s="8"/>
      <c r="AE52" s="8"/>
    </row>
    <row r="53" spans="1:31" ht="15">
      <c r="A53">
        <f t="shared" si="2"/>
        <v>1175</v>
      </c>
      <c r="B53">
        <f>_XLL.ENTROPY(Fluid,"Tv",A53-273.15,$B$6)</f>
        <v>7.303863643980235</v>
      </c>
      <c r="C53">
        <f>_XLL.ENTROPY(Fluid,"Tv",A53-273.15,$C$6)</f>
        <v>7.9180627688292855</v>
      </c>
      <c r="D53">
        <f>_XLL.ENTROPY(Fluid,"PT",$D$6,A53-273.15)</f>
        <v>8.316516150918421</v>
      </c>
      <c r="F53">
        <v>0.45</v>
      </c>
      <c r="G53">
        <f>_XLL.PRESSURE(Fluid,"vs",F53,G$6)</f>
        <v>2.3875523585303435</v>
      </c>
      <c r="H53">
        <f>_XLL.PRESSURE(Fluid,"vs",F53,H$6)</f>
        <v>7.959026997501784</v>
      </c>
      <c r="J53" s="1">
        <f t="shared" si="5"/>
        <v>7.270990447144546</v>
      </c>
      <c r="K53" s="6">
        <f>_XLL.TEMPERATURE(Fluid,"vs",$B$6,J53)+273.15</f>
        <v>1131.8113028337443</v>
      </c>
      <c r="L53" s="6"/>
      <c r="M53" s="6"/>
      <c r="N53" s="1">
        <f t="shared" si="6"/>
        <v>7.366363715103544</v>
      </c>
      <c r="O53" s="6">
        <f>_XLL.TEMPERATURE(Fluid,"vs",$C$6,N53)+273.15</f>
        <v>599.9336436425755</v>
      </c>
      <c r="P53" s="6"/>
      <c r="Q53" s="6"/>
      <c r="R53" s="6">
        <f t="shared" si="3"/>
        <v>9.463780895233285</v>
      </c>
      <c r="S53" s="8">
        <f>_XLL.SPECVOLUME(Fluid,"Ps",R53,T$3)</f>
        <v>0.16711621512879066</v>
      </c>
      <c r="T53" s="1"/>
      <c r="V53" s="6">
        <f t="shared" si="4"/>
        <v>33.89641397832146</v>
      </c>
      <c r="W53" s="8">
        <f>_XLL.SPECVOLUME(Fluid,"Ps",V53,X$3)</f>
        <v>0.1491416260722284</v>
      </c>
      <c r="X53" s="1"/>
      <c r="Z53" s="8"/>
      <c r="AE53" s="8"/>
    </row>
    <row r="54" spans="1:31" ht="15">
      <c r="A54">
        <f t="shared" si="2"/>
        <v>1200</v>
      </c>
      <c r="B54">
        <f>_XLL.ENTROPY(Fluid,"Tv",A54-273.15,$B$6)</f>
        <v>7.322450089636678</v>
      </c>
      <c r="C54">
        <f>_XLL.ENTROPY(Fluid,"Tv",A54-273.15,$C$6)</f>
        <v>7.936649214485729</v>
      </c>
      <c r="D54">
        <f>_XLL.ENTROPY(Fluid,"PT",$D$6,A54-273.15)</f>
        <v>8.341144926351843</v>
      </c>
      <c r="F54">
        <v>0.46</v>
      </c>
      <c r="G54">
        <f>_XLL.PRESSURE(Fluid,"vs",F54,G$6)</f>
        <v>2.3153538822286226</v>
      </c>
      <c r="H54">
        <f>_XLL.PRESSURE(Fluid,"vs",F54,H$6)</f>
        <v>7.73105854664583</v>
      </c>
      <c r="J54" s="1">
        <f t="shared" si="5"/>
        <v>7.2805277739404435</v>
      </c>
      <c r="K54" s="6">
        <f>_XLL.TEMPERATURE(Fluid,"vs",$B$6,J54)+273.15</f>
        <v>1144.207614847719</v>
      </c>
      <c r="L54" s="6"/>
      <c r="M54" s="6"/>
      <c r="N54" s="1">
        <f t="shared" si="6"/>
        <v>7.356826388307646</v>
      </c>
      <c r="O54" s="6">
        <f>_XLL.TEMPERATURE(Fluid,"vs",$C$6,N54)+273.15</f>
        <v>592.4747532822907</v>
      </c>
      <c r="P54" s="6"/>
      <c r="Q54" s="6"/>
      <c r="R54" s="6">
        <f t="shared" si="3"/>
        <v>9.65157602623847</v>
      </c>
      <c r="S54" s="8">
        <f>_XLL.SPECVOLUME(Fluid,"Ps",R54,T$3)</f>
        <v>0.16475571189046442</v>
      </c>
      <c r="T54" s="1"/>
      <c r="V54" s="6">
        <f t="shared" si="4"/>
        <v>33.344230511969</v>
      </c>
      <c r="W54" s="8">
        <f>_XLL.SPECVOLUME(Fluid,"Ps",V54,X$3)</f>
        <v>0.15103305753066762</v>
      </c>
      <c r="X54" s="1"/>
      <c r="Z54" s="8"/>
      <c r="AE54" s="8"/>
    </row>
    <row r="55" spans="1:31" ht="15">
      <c r="A55">
        <f t="shared" si="2"/>
        <v>1225</v>
      </c>
      <c r="B55">
        <f>_XLL.ENTROPY(Fluid,"Tv",A55-273.15,$B$6)</f>
        <v>7.340726666457496</v>
      </c>
      <c r="C55">
        <f>_XLL.ENTROPY(Fluid,"Tv",A55-273.15,$C$6)</f>
        <v>7.954925791306547</v>
      </c>
      <c r="D55">
        <f>_XLL.ENTROPY(Fluid,"PT",$D$6,A55-273.15)</f>
        <v>8.365339239909472</v>
      </c>
      <c r="F55">
        <v>0.47</v>
      </c>
      <c r="G55">
        <f>_XLL.PRESSURE(Fluid,"vs",F55,G$6)</f>
        <v>2.2468128228681308</v>
      </c>
      <c r="H55">
        <f>_XLL.PRESSURE(Fluid,"vs",F55,H$6)</f>
        <v>7.514245029954885</v>
      </c>
      <c r="J55" s="1">
        <f t="shared" si="5"/>
        <v>7.290065100736341</v>
      </c>
      <c r="K55" s="6">
        <f>_XLL.TEMPERATURE(Fluid,"vs",$B$6,J55)+273.15</f>
        <v>1156.7129068237123</v>
      </c>
      <c r="L55" s="6"/>
      <c r="M55" s="6"/>
      <c r="N55" s="1">
        <f t="shared" si="6"/>
        <v>7.3472890615117485</v>
      </c>
      <c r="O55" s="6">
        <f>_XLL.TEMPERATURE(Fluid,"vs",$C$6,N55)+273.15</f>
        <v>585.092573180406</v>
      </c>
      <c r="P55" s="6"/>
      <c r="Q55" s="6"/>
      <c r="R55" s="6">
        <f t="shared" si="3"/>
        <v>9.839371157243654</v>
      </c>
      <c r="S55" s="8">
        <f>_XLL.SPECVOLUME(Fluid,"Ps",R55,T$3)</f>
        <v>0.1624725609523643</v>
      </c>
      <c r="T55" s="1"/>
      <c r="V55" s="6">
        <f t="shared" si="4"/>
        <v>32.79204704561654</v>
      </c>
      <c r="W55" s="8">
        <f>_XLL.SPECVOLUME(Fluid,"Ps",V55,X$3)</f>
        <v>0.15298039475214814</v>
      </c>
      <c r="X55" s="1"/>
      <c r="Z55" s="8"/>
      <c r="AE55" s="8"/>
    </row>
    <row r="56" spans="1:31" ht="15">
      <c r="A56">
        <f t="shared" si="2"/>
        <v>1250</v>
      </c>
      <c r="B56">
        <f>_XLL.ENTROPY(Fluid,"Tv",A56-273.15,$B$6)</f>
        <v>7.358704249456458</v>
      </c>
      <c r="C56">
        <f>_XLL.ENTROPY(Fluid,"Tv",A56-273.15,$C$6)</f>
        <v>7.972903374305508</v>
      </c>
      <c r="D56">
        <f>_XLL.ENTROPY(Fluid,"PT",$D$6,A56-273.15)</f>
        <v>8.389115001191733</v>
      </c>
      <c r="F56">
        <v>0.48</v>
      </c>
      <c r="G56">
        <f>_XLL.PRESSURE(Fluid,"vs",F56,G$6)</f>
        <v>2.181672380784144</v>
      </c>
      <c r="H56">
        <f>_XLL.PRESSURE(Fluid,"vs",F56,H$6)</f>
        <v>7.3078218867408395</v>
      </c>
      <c r="J56" s="1">
        <f t="shared" si="5"/>
        <v>7.299602427532239</v>
      </c>
      <c r="K56" s="6">
        <f>_XLL.TEMPERATURE(Fluid,"vs",$B$6,J56)+273.15</f>
        <v>1169.3279754135078</v>
      </c>
      <c r="L56" s="6"/>
      <c r="M56" s="6"/>
      <c r="N56" s="1">
        <f t="shared" si="6"/>
        <v>7.337751734715851</v>
      </c>
      <c r="O56" s="6">
        <f>_XLL.TEMPERATURE(Fluid,"vs",$C$6,N56)+273.15</f>
        <v>577.7867894336537</v>
      </c>
      <c r="P56" s="6"/>
      <c r="Q56" s="6"/>
      <c r="R56" s="6">
        <f t="shared" si="3"/>
        <v>10.02716628824884</v>
      </c>
      <c r="S56" s="8">
        <f>_XLL.SPECVOLUME(Fluid,"Ps",R56,T$3)</f>
        <v>0.16026282534482106</v>
      </c>
      <c r="T56" s="1"/>
      <c r="V56" s="6">
        <f t="shared" si="4"/>
        <v>32.23986357926408</v>
      </c>
      <c r="W56" s="8">
        <f>_XLL.SPECVOLUME(Fluid,"Ps",V56,X$3)</f>
        <v>0.15498626910582416</v>
      </c>
      <c r="X56" s="1"/>
      <c r="Z56" s="8"/>
      <c r="AE56" s="8"/>
    </row>
    <row r="57" spans="1:31" ht="15">
      <c r="A57">
        <f t="shared" si="2"/>
        <v>1275</v>
      </c>
      <c r="B57">
        <f>_XLL.ENTROPY(Fluid,"Tv",A57-273.15,$B$6)</f>
        <v>7.376393098184373</v>
      </c>
      <c r="C57">
        <f>_XLL.ENTROPY(Fluid,"Tv",A57-273.15,$C$6)</f>
        <v>7.990592223033423</v>
      </c>
      <c r="D57">
        <f>_XLL.ENTROPY(Fluid,"PT",$D$6,A57-273.15)</f>
        <v>8.412487205211407</v>
      </c>
      <c r="F57">
        <v>0.49</v>
      </c>
      <c r="G57">
        <f>_XLL.PRESSURE(Fluid,"vs",F57,G$6)</f>
        <v>2.1196986179567046</v>
      </c>
      <c r="H57">
        <f>_XLL.PRESSURE(Fluid,"vs",F57,H$6)</f>
        <v>7.111091385203045</v>
      </c>
      <c r="J57" s="1">
        <f t="shared" si="5"/>
        <v>7.309139754328137</v>
      </c>
      <c r="K57" s="6">
        <f>_XLL.TEMPERATURE(Fluid,"vs",$B$6,J57)+273.15</f>
        <v>1182.0536262850521</v>
      </c>
      <c r="L57" s="6"/>
      <c r="M57" s="6"/>
      <c r="N57" s="1">
        <f t="shared" si="6"/>
        <v>7.328214407919953</v>
      </c>
      <c r="O57" s="6">
        <f>_XLL.TEMPERATURE(Fluid,"vs",$C$6,N57)+273.15</f>
        <v>570.5570838908831</v>
      </c>
      <c r="P57" s="6"/>
      <c r="Q57" s="6"/>
      <c r="R57" s="6">
        <f t="shared" si="3"/>
        <v>10.214961419254024</v>
      </c>
      <c r="S57" s="8">
        <f>_XLL.SPECVOLUME(Fluid,"Ps",R57,T$3)</f>
        <v>0.15812283734604946</v>
      </c>
      <c r="T57" s="1"/>
      <c r="V57" s="6">
        <f t="shared" si="4"/>
        <v>31.687680112911625</v>
      </c>
      <c r="W57" s="8">
        <f>_XLL.SPECVOLUME(Fluid,"Ps",V57,X$3)</f>
        <v>0.15705348355725374</v>
      </c>
      <c r="X57" s="1"/>
      <c r="Z57" s="8"/>
      <c r="AE57" s="8"/>
    </row>
    <row r="58" spans="1:31" ht="15">
      <c r="A58">
        <f t="shared" si="2"/>
        <v>1300</v>
      </c>
      <c r="B58">
        <f>_XLL.ENTROPY(Fluid,"Tv",A58-273.15,$B$6)</f>
        <v>7.393802904242246</v>
      </c>
      <c r="C58">
        <f>_XLL.ENTROPY(Fluid,"Tv",A58-273.15,$C$6)</f>
        <v>8.0080020290913</v>
      </c>
      <c r="D58">
        <f>_XLL.ENTROPY(Fluid,"PT",$D$6,A58-273.15)</f>
        <v>8.435470003143605</v>
      </c>
      <c r="F58">
        <v>0.5</v>
      </c>
      <c r="G58">
        <f>_XLL.PRESSURE(Fluid,"vs",F58,G$6)</f>
        <v>2.06067799591184</v>
      </c>
      <c r="H58">
        <f>_XLL.PRESSURE(Fluid,"vs",F58,H$6)</f>
        <v>6.923415568563931</v>
      </c>
      <c r="J58" s="1">
        <f t="shared" si="5"/>
        <v>7.318677081124035</v>
      </c>
      <c r="K58" s="6">
        <f>_XLL.TEMPERATURE(Fluid,"vs",$B$6,J58)+273.15</f>
        <v>1194.8906742860756</v>
      </c>
      <c r="L58" s="6"/>
      <c r="M58" s="6"/>
      <c r="N58" s="1">
        <f t="shared" si="6"/>
        <v>7.318677081124055</v>
      </c>
      <c r="O58" s="6">
        <f>_XLL.TEMPERATURE(Fluid,"vs",$C$6,N58)+273.15</f>
        <v>563.4031330639242</v>
      </c>
      <c r="P58" s="6"/>
      <c r="Q58" s="6"/>
      <c r="R58" s="6">
        <f t="shared" si="3"/>
        <v>10.402756550259209</v>
      </c>
      <c r="S58" s="8">
        <f>_XLL.SPECVOLUME(Fluid,"Ps",R58,T$3)</f>
        <v>0.15604917552685396</v>
      </c>
      <c r="T58" s="1"/>
      <c r="V58" s="6">
        <f t="shared" si="4"/>
        <v>31.13549664655917</v>
      </c>
      <c r="W58" s="8">
        <f>_XLL.SPECVOLUME(Fluid,"Ps",V58,X$3)</f>
        <v>0.15918502708446805</v>
      </c>
      <c r="X58" s="1"/>
      <c r="Z58" s="8"/>
      <c r="AE58" s="8"/>
    </row>
    <row r="59" spans="1:31" ht="15">
      <c r="A59">
        <f t="shared" si="2"/>
        <v>1325</v>
      </c>
      <c r="B59">
        <f>_XLL.ENTROPY(Fluid,"Tv",A59-273.15,$B$6)</f>
        <v>7.410942834268537</v>
      </c>
      <c r="C59">
        <f>_XLL.ENTROPY(Fluid,"Tv",A59-273.15,$C$6)</f>
        <v>8.025141959117587</v>
      </c>
      <c r="D59">
        <f>_XLL.ENTROPY(Fluid,"PT",$D$6,A59-273.15)</f>
        <v>8.458076766336323</v>
      </c>
      <c r="F59">
        <v>0.51</v>
      </c>
      <c r="G59">
        <f>_XLL.PRESSURE(Fluid,"vs",F59,G$6)</f>
        <v>2.0044152367844332</v>
      </c>
      <c r="H59">
        <f>_XLL.PRESSURE(Fluid,"vs",F59,H$6)</f>
        <v>6.744210068831521</v>
      </c>
      <c r="J59" s="1">
        <f t="shared" si="5"/>
        <v>7.3282144079199325</v>
      </c>
      <c r="K59" s="6">
        <f>_XLL.TEMPERATURE(Fluid,"vs",$B$6,J59)+273.15</f>
        <v>1207.8399436086395</v>
      </c>
      <c r="L59" s="6"/>
      <c r="M59" s="6"/>
      <c r="N59" s="1">
        <f t="shared" si="6"/>
        <v>7.309139754328157</v>
      </c>
      <c r="O59" s="6">
        <f>_XLL.TEMPERATURE(Fluid,"vs",$C$6,N59)+273.15</f>
        <v>556.3246077025567</v>
      </c>
      <c r="P59" s="6"/>
      <c r="Q59" s="6"/>
      <c r="R59" s="6">
        <f t="shared" si="3"/>
        <v>10.590551681264394</v>
      </c>
      <c r="S59" s="8">
        <f>_XLL.SPECVOLUME(Fluid,"Ps",R59,T$3)</f>
        <v>0.1540386441259081</v>
      </c>
      <c r="T59" s="1"/>
      <c r="V59" s="6">
        <f t="shared" si="4"/>
        <v>30.583313180206712</v>
      </c>
      <c r="W59" s="8">
        <f>_XLL.SPECVOLUME(Fluid,"Ps",V59,X$3)</f>
        <v>0.16138409058606493</v>
      </c>
      <c r="X59" s="1"/>
      <c r="Z59" s="8"/>
      <c r="AE59" s="8"/>
    </row>
    <row r="60" spans="1:31" ht="15">
      <c r="A60">
        <f t="shared" si="2"/>
        <v>1350</v>
      </c>
      <c r="B60">
        <f>_XLL.ENTROPY(Fluid,"Tv",A60-273.15,$B$6)</f>
        <v>7.427821568908148</v>
      </c>
      <c r="C60">
        <f>_XLL.ENTROPY(Fluid,"Tv",A60-273.15,$C$6)</f>
        <v>8.0420206937572</v>
      </c>
      <c r="D60">
        <f>_XLL.ENTROPY(Fluid,"PT",$D$6,A60-273.15)</f>
        <v>8.48032014433765</v>
      </c>
      <c r="F60">
        <v>0.52</v>
      </c>
      <c r="G60">
        <f>_XLL.PRESSURE(Fluid,"vs",F60,G$6)</f>
        <v>1.9507314464327874</v>
      </c>
      <c r="H60">
        <f>_XLL.PRESSURE(Fluid,"vs",F60,H$6)</f>
        <v>6.57293866689728</v>
      </c>
      <c r="J60" s="1">
        <f t="shared" si="5"/>
        <v>7.33775173471583</v>
      </c>
      <c r="K60" s="6">
        <f>_XLL.TEMPERATURE(Fluid,"vs",$B$6,J60)+273.15</f>
        <v>1220.9022679546224</v>
      </c>
      <c r="L60" s="6"/>
      <c r="M60" s="6"/>
      <c r="N60" s="1">
        <f t="shared" si="6"/>
        <v>7.2996024275322595</v>
      </c>
      <c r="O60" s="6">
        <f>_XLL.TEMPERATURE(Fluid,"vs",$C$6,N60)+273.15</f>
        <v>549.3211725049689</v>
      </c>
      <c r="P60" s="6"/>
      <c r="Q60" s="6"/>
      <c r="R60" s="6">
        <f t="shared" si="3"/>
        <v>10.778346812269579</v>
      </c>
      <c r="S60" s="8">
        <f>_XLL.SPECVOLUME(Fluid,"Ps",R60,T$3)</f>
        <v>0.1520882544824044</v>
      </c>
      <c r="T60" s="1"/>
      <c r="V60" s="6">
        <f t="shared" si="4"/>
        <v>30.031129713854256</v>
      </c>
      <c r="W60" s="8">
        <f>_XLL.SPECVOLUME(Fluid,"Ps",V60,X$3)</f>
        <v>0.16365408446589103</v>
      </c>
      <c r="X60" s="1"/>
      <c r="Z60" s="8"/>
      <c r="AE60" s="8"/>
    </row>
    <row r="61" spans="1:31" ht="15">
      <c r="A61">
        <f t="shared" si="2"/>
        <v>1375</v>
      </c>
      <c r="B61">
        <f>_XLL.ENTROPY(Fluid,"Tv",A61-273.15,$B$6)</f>
        <v>7.444447338205676</v>
      </c>
      <c r="C61">
        <f>_XLL.ENTROPY(Fluid,"Tv",A61-273.15,$C$6)</f>
        <v>8.058646463054728</v>
      </c>
      <c r="D61">
        <f>_XLL.ENTROPY(Fluid,"PT",$D$6,A61-273.15)</f>
        <v>8.502212117598388</v>
      </c>
      <c r="F61">
        <v>0.53</v>
      </c>
      <c r="G61">
        <f>_XLL.PRESSURE(Fluid,"vs",F61,G$6)</f>
        <v>1.8994624586958868</v>
      </c>
      <c r="H61">
        <f>_XLL.PRESSURE(Fluid,"vs",F61,H$6)</f>
        <v>6.409108496610628</v>
      </c>
      <c r="J61" s="1">
        <f t="shared" si="5"/>
        <v>7.347289061511728</v>
      </c>
      <c r="K61" s="6">
        <f>_XLL.TEMPERATURE(Fluid,"vs",$B$6,J61)+273.15</f>
        <v>1234.0784907019674</v>
      </c>
      <c r="L61" s="6"/>
      <c r="M61" s="6"/>
      <c r="N61" s="1">
        <f t="shared" si="6"/>
        <v>7.290065100736362</v>
      </c>
      <c r="O61" s="6">
        <f>_XLL.TEMPERATURE(Fluid,"vs",$C$6,N61)+273.15</f>
        <v>542.3924858134679</v>
      </c>
      <c r="P61" s="6"/>
      <c r="Q61" s="6"/>
      <c r="R61" s="6">
        <f t="shared" si="3"/>
        <v>10.966141943274764</v>
      </c>
      <c r="S61" s="8">
        <f>_XLL.SPECVOLUME(Fluid,"Ps",R61,T$3)</f>
        <v>0.15019520828902463</v>
      </c>
      <c r="T61" s="1"/>
      <c r="V61" s="6">
        <f t="shared" si="4"/>
        <v>29.4789462475018</v>
      </c>
      <c r="W61" s="8">
        <f>_XLL.SPECVOLUME(Fluid,"Ps",V61,X$3)</f>
        <v>0.1659986581055929</v>
      </c>
      <c r="X61" s="1"/>
      <c r="Z61" s="8"/>
      <c r="AE61" s="8"/>
    </row>
    <row r="62" spans="1:31" ht="15">
      <c r="A62">
        <f t="shared" si="2"/>
        <v>1400</v>
      </c>
      <c r="B62">
        <f>_XLL.ENTROPY(Fluid,"Tv",A62-273.15,$B$6)</f>
        <v>7.4608279538095195</v>
      </c>
      <c r="C62">
        <f>_XLL.ENTROPY(Fluid,"Tv",A62-273.15,$C$6)</f>
        <v>8.07502707865857</v>
      </c>
      <c r="D62">
        <f>_XLL.ENTROPY(Fluid,"PT",$D$6,A62-273.15)</f>
        <v>8.523764045425938</v>
      </c>
      <c r="F62">
        <v>0.54</v>
      </c>
      <c r="G62">
        <f>_XLL.PRESSURE(Fluid,"vs",F62,G$6)</f>
        <v>1.850457375064525</v>
      </c>
      <c r="H62">
        <f>_XLL.PRESSURE(Fluid,"vs",F62,H$6)</f>
        <v>6.252265806113567</v>
      </c>
      <c r="J62" s="1">
        <f t="shared" si="5"/>
        <v>7.356826388307626</v>
      </c>
      <c r="K62" s="6">
        <f>_XLL.TEMPERATURE(Fluid,"vs",$B$6,J62)+273.15</f>
        <v>1247.3694650717343</v>
      </c>
      <c r="L62" s="6"/>
      <c r="M62" s="6"/>
      <c r="N62" s="1">
        <f t="shared" si="6"/>
        <v>7.280527773940464</v>
      </c>
      <c r="O62" s="6">
        <f>_XLL.TEMPERATURE(Fluid,"vs",$C$6,N62)+273.15</f>
        <v>535.5381993436222</v>
      </c>
      <c r="P62" s="6"/>
      <c r="Q62" s="6"/>
      <c r="R62" s="6">
        <f t="shared" si="3"/>
        <v>11.153937074279948</v>
      </c>
      <c r="S62" s="8">
        <f>_XLL.SPECVOLUME(Fluid,"Ps",R62,T$3)</f>
        <v>0.14835688245905237</v>
      </c>
      <c r="T62" s="1"/>
      <c r="V62" s="6">
        <f t="shared" si="4"/>
        <v>28.926762781149343</v>
      </c>
      <c r="W62" s="8">
        <f>_XLL.SPECVOLUME(Fluid,"Ps",V62,X$3)</f>
        <v>0.16842172146744291</v>
      </c>
      <c r="X62" s="1"/>
      <c r="Z62" s="8"/>
      <c r="AE62" s="8"/>
    </row>
    <row r="63" spans="1:31" ht="15">
      <c r="A63">
        <f t="shared" si="2"/>
        <v>1425</v>
      </c>
      <c r="B63">
        <f>_XLL.ENTROPY(Fluid,"Tv",A63-273.15,$B$6)</f>
        <v>7.476970838325594</v>
      </c>
      <c r="C63">
        <f>_XLL.ENTROPY(Fluid,"Tv",A63-273.15,$C$6)</f>
        <v>8.091169963174645</v>
      </c>
      <c r="D63">
        <f>_XLL.ENTROPY(Fluid,"PT",$D$6,A63-273.15)</f>
        <v>8.544986709693726</v>
      </c>
      <c r="F63">
        <v>0.55</v>
      </c>
      <c r="G63">
        <f>_XLL.PRESSURE(Fluid,"vs",F63,G$6)</f>
        <v>1.8035772728427646</v>
      </c>
      <c r="H63">
        <f>_XLL.PRESSURE(Fluid,"vs",F63,H$6)</f>
        <v>6.101992202781698</v>
      </c>
      <c r="J63" s="1">
        <f t="shared" si="5"/>
        <v>7.366363715103524</v>
      </c>
      <c r="K63" s="6">
        <f>_XLL.TEMPERATURE(Fluid,"vs",$B$6,J63)+273.15</f>
        <v>1260.776054295852</v>
      </c>
      <c r="L63" s="6"/>
      <c r="M63" s="6"/>
      <c r="N63" s="1">
        <f t="shared" si="6"/>
        <v>7.270990447144566</v>
      </c>
      <c r="O63" s="6">
        <f>_XLL.TEMPERATURE(Fluid,"vs",$C$6,N63)+273.15</f>
        <v>528.7579579461567</v>
      </c>
      <c r="P63" s="6"/>
      <c r="Q63" s="6"/>
      <c r="R63" s="6">
        <f t="shared" si="3"/>
        <v>11.341732205285133</v>
      </c>
      <c r="S63" s="8">
        <f>_XLL.SPECVOLUME(Fluid,"Ps",R63,T$3)</f>
        <v>0.14657081542783304</v>
      </c>
      <c r="T63" s="1"/>
      <c r="V63" s="6">
        <f t="shared" si="4"/>
        <v>28.374579314796886</v>
      </c>
      <c r="W63" s="8">
        <f>_XLL.SPECVOLUME(Fluid,"Ps",V63,X$3)</f>
        <v>0.17092746910629428</v>
      </c>
      <c r="X63" s="1"/>
      <c r="Z63" s="8"/>
      <c r="AE63" s="8"/>
    </row>
    <row r="64" spans="1:31" ht="15">
      <c r="A64">
        <f t="shared" si="2"/>
        <v>1450</v>
      </c>
      <c r="B64">
        <f>_XLL.ENTROPY(Fluid,"Tv",A64-273.15,$B$6)</f>
        <v>7.4928830521181755</v>
      </c>
      <c r="C64">
        <f>_XLL.ENTROPY(Fluid,"Tv",A64-273.15,$C$6)</f>
        <v>8.107082176967227</v>
      </c>
      <c r="D64">
        <f>_XLL.ENTROPY(Fluid,"PT",$D$6,A64-273.15)</f>
        <v>8.565890354749243</v>
      </c>
      <c r="F64">
        <v>0.56</v>
      </c>
      <c r="G64">
        <f>_XLL.PRESSURE(Fluid,"vs",F64,G$6)</f>
        <v>1.75869405973162</v>
      </c>
      <c r="H64">
        <f>_XLL.PRESSURE(Fluid,"vs",F64,H$6)</f>
        <v>5.957901318994564</v>
      </c>
      <c r="J64" s="1">
        <f t="shared" si="5"/>
        <v>7.3759010418994215</v>
      </c>
      <c r="K64" s="6">
        <f>_XLL.TEMPERATURE(Fluid,"vs",$B$6,J64)+273.15</f>
        <v>1274.2991317855133</v>
      </c>
      <c r="L64" s="6"/>
      <c r="M64" s="6"/>
      <c r="N64" s="1">
        <f t="shared" si="6"/>
        <v>7.261453120348668</v>
      </c>
      <c r="O64" s="6">
        <f>_XLL.TEMPERATURE(Fluid,"vs",$C$6,N64)+273.15</f>
        <v>522.0513994009071</v>
      </c>
      <c r="P64" s="6"/>
      <c r="Q64" s="6"/>
      <c r="R64" s="6">
        <f t="shared" si="3"/>
        <v>11.529527336290318</v>
      </c>
      <c r="S64" s="8">
        <f>_XLL.SPECVOLUME(Fluid,"Ps",R64,T$3)</f>
        <v>0.14483469473141122</v>
      </c>
      <c r="T64" s="1"/>
      <c r="V64" s="6">
        <f t="shared" si="4"/>
        <v>27.82239584844443</v>
      </c>
      <c r="W64" s="8">
        <f>_XLL.SPECVOLUME(Fluid,"Ps",V64,X$3)</f>
        <v>0.17352040691224413</v>
      </c>
      <c r="X64" s="1"/>
      <c r="Z64" s="8"/>
      <c r="AE64" s="8"/>
    </row>
    <row r="65" spans="1:31" ht="15">
      <c r="A65">
        <f t="shared" si="2"/>
        <v>1475</v>
      </c>
      <c r="B65">
        <f>_XLL.ENTROPY(Fluid,"Tv",A65-273.15,$B$6)</f>
        <v>7.508571317819684</v>
      </c>
      <c r="C65">
        <f>_XLL.ENTROPY(Fluid,"Tv",A65-273.15,$C$6)</f>
        <v>8.122770442668733</v>
      </c>
      <c r="D65">
        <f>_XLL.ENTROPY(Fluid,"PT",$D$6,A65-273.15)</f>
        <v>8.586484723910617</v>
      </c>
      <c r="F65">
        <v>0.57</v>
      </c>
      <c r="G65">
        <f>_XLL.PRESSURE(Fluid,"vs",F65,G$6)</f>
        <v>1.7156894559443852</v>
      </c>
      <c r="H65">
        <f>_XLL.PRESSURE(Fluid,"vs",F65,H$6)</f>
        <v>5.819635844985803</v>
      </c>
      <c r="J65" s="1">
        <f t="shared" si="5"/>
        <v>7.385438368695319</v>
      </c>
      <c r="K65" s="6">
        <f>_XLL.TEMPERATURE(Fluid,"vs",$B$6,J65)+273.15</f>
        <v>1287.9395813001447</v>
      </c>
      <c r="L65" s="6"/>
      <c r="M65" s="6"/>
      <c r="N65" s="1">
        <f t="shared" si="6"/>
        <v>7.2519157935527705</v>
      </c>
      <c r="O65" s="6">
        <f>_XLL.TEMPERATURE(Fluid,"vs",$C$6,N65)+273.15</f>
        <v>515.4181542420325</v>
      </c>
      <c r="P65" s="6"/>
      <c r="Q65" s="6"/>
      <c r="R65" s="6">
        <f t="shared" si="3"/>
        <v>11.717322467295503</v>
      </c>
      <c r="S65" s="8">
        <f>_XLL.SPECVOLUME(Fluid,"Ps",R65,T$3)</f>
        <v>0.1431463457246649</v>
      </c>
      <c r="T65" s="1"/>
      <c r="V65" s="6">
        <f t="shared" si="4"/>
        <v>27.270212382091973</v>
      </c>
      <c r="W65" s="8">
        <f>_XLL.SPECVOLUME(Fluid,"Ps",V65,X$3)</f>
        <v>0.1762053819558618</v>
      </c>
      <c r="X65" s="1"/>
      <c r="Z65" s="8"/>
      <c r="AE65" s="8"/>
    </row>
    <row r="66" spans="1:31" ht="15">
      <c r="A66">
        <f t="shared" si="2"/>
        <v>1500</v>
      </c>
      <c r="B66">
        <f>_XLL.ENTROPY(Fluid,"Tv",A66-273.15,$B$6)</f>
        <v>7.524042042780549</v>
      </c>
      <c r="C66">
        <f>_XLL.ENTROPY(Fluid,"Tv",A66-273.15,$C$6)</f>
        <v>8.138241167629598</v>
      </c>
      <c r="D66">
        <f>_XLL.ENTROPY(Fluid,"PT",$D$6,A66-273.15)</f>
        <v>8.606779092895783</v>
      </c>
      <c r="F66">
        <v>0.58</v>
      </c>
      <c r="G66">
        <f>_XLL.PRESSURE(Fluid,"vs",F66,G$6)</f>
        <v>1.6744540877885499</v>
      </c>
      <c r="H66">
        <f>_XLL.PRESSURE(Fluid,"vs",F66,H$6)</f>
        <v>5.68686488284067</v>
      </c>
      <c r="J66" s="1">
        <f t="shared" si="5"/>
        <v>7.394975695491217</v>
      </c>
      <c r="K66" s="6">
        <f>_XLL.TEMPERATURE(Fluid,"vs",$B$6,J66)+273.15</f>
        <v>1301.6982971168545</v>
      </c>
      <c r="L66" s="6"/>
      <c r="M66" s="6"/>
      <c r="N66" s="1">
        <f t="shared" si="6"/>
        <v>7.242378466756873</v>
      </c>
      <c r="O66" s="6">
        <f>_XLL.TEMPERATURE(Fluid,"vs",$C$6,N66)+273.15</f>
        <v>508.857845613739</v>
      </c>
      <c r="P66" s="6"/>
      <c r="Q66" s="6"/>
      <c r="R66" s="6">
        <f t="shared" si="3"/>
        <v>11.905117598300688</v>
      </c>
      <c r="S66" s="8">
        <f>_XLL.SPECVOLUME(Fluid,"Ps",R66,T$3)</f>
        <v>0.14150372131803124</v>
      </c>
      <c r="T66" s="1"/>
      <c r="V66" s="6">
        <f t="shared" si="4"/>
        <v>26.718028915739517</v>
      </c>
      <c r="W66" s="8">
        <f>_XLL.SPECVOLUME(Fluid,"Ps",V66,X$3)</f>
        <v>0.1789876158671734</v>
      </c>
      <c r="X66" s="1"/>
      <c r="Z66" s="8"/>
      <c r="AE66" s="8"/>
    </row>
    <row r="67" spans="1:31" ht="15">
      <c r="A67">
        <f t="shared" si="2"/>
        <v>1525</v>
      </c>
      <c r="B67">
        <f>_XLL.ENTROPY(Fluid,"Tv",A67-273.15,$B$6)</f>
        <v>7.539301339663433</v>
      </c>
      <c r="C67">
        <f>_XLL.ENTROPY(Fluid,"Tv",A67-273.15,$C$6)</f>
        <v>8.153500464512481</v>
      </c>
      <c r="D67">
        <f>_XLL.ENTROPY(Fluid,"PT",$D$6,A67-273.15)</f>
        <v>8.626782300488518</v>
      </c>
      <c r="F67">
        <v>0.59</v>
      </c>
      <c r="G67">
        <f>_XLL.PRESSURE(Fluid,"vs",F67,G$6)</f>
        <v>1.6348866787560723</v>
      </c>
      <c r="H67">
        <f>_XLL.PRESSURE(Fluid,"vs",F67,H$6)</f>
        <v>5.559281581972232</v>
      </c>
      <c r="J67" s="1">
        <f t="shared" si="5"/>
        <v>7.404513022287115</v>
      </c>
      <c r="K67" s="6">
        <f>_XLL.TEMPERATURE(Fluid,"vs",$B$6,J67)+273.15</f>
        <v>1315.5761842003512</v>
      </c>
      <c r="L67" s="6"/>
      <c r="M67" s="6"/>
      <c r="N67" s="1">
        <f t="shared" si="6"/>
        <v>7.232841139960975</v>
      </c>
      <c r="O67" s="6">
        <f>_XLL.TEMPERATURE(Fluid,"vs",$C$6,N67)+273.15</f>
        <v>502.37008915556584</v>
      </c>
      <c r="P67" s="6"/>
      <c r="Q67" s="6"/>
      <c r="R67" s="6">
        <f>R66+(S$4-S$3)/100</f>
        <v>12.092912729305873</v>
      </c>
      <c r="S67" s="8">
        <f>_XLL.SPECVOLUME(Fluid,"Ps",R67,T$3)</f>
        <v>0.13990489262642813</v>
      </c>
      <c r="T67" s="1"/>
      <c r="V67" s="6">
        <f t="shared" si="4"/>
        <v>26.16584544938706</v>
      </c>
      <c r="W67" s="8">
        <f>_XLL.SPECVOLUME(Fluid,"Ps",V67,X$3)</f>
        <v>0.18187274224984107</v>
      </c>
      <c r="X67" s="1"/>
      <c r="Z67" s="8"/>
      <c r="AE67" s="8"/>
    </row>
    <row r="68" spans="1:31" ht="15">
      <c r="A68">
        <f t="shared" si="2"/>
        <v>1550</v>
      </c>
      <c r="B68">
        <f>_XLL.ENTROPY(Fluid,"Tv",A68-273.15,$B$6)</f>
        <v>7.5543550453629</v>
      </c>
      <c r="C68">
        <f>_XLL.ENTROPY(Fluid,"Tv",A68-273.15,$C$6)</f>
        <v>8.168554170211952</v>
      </c>
      <c r="D68">
        <f>_XLL.ENTROPY(Fluid,"PT",$D$6,A68-273.15)</f>
        <v>8.64650277671097</v>
      </c>
      <c r="F68">
        <v>0.6</v>
      </c>
      <c r="G68">
        <f>_XLL.PRESSURE(Fluid,"vs",F68,G$6)</f>
        <v>1.5968933262532015</v>
      </c>
      <c r="H68">
        <f>_XLL.PRESSURE(Fluid,"vs",F68,H$6)</f>
        <v>5.436601021999021</v>
      </c>
      <c r="J68" s="1">
        <f t="shared" si="5"/>
        <v>7.414050349083013</v>
      </c>
      <c r="K68" s="6">
        <f>_XLL.TEMPERATURE(Fluid,"vs",$B$6,J68)+273.15</f>
        <v>1329.5741583731951</v>
      </c>
      <c r="L68" s="6"/>
      <c r="M68" s="6"/>
      <c r="N68" s="1">
        <f t="shared" si="6"/>
        <v>7.223303813165077</v>
      </c>
      <c r="O68" s="6">
        <f>_XLL.TEMPERATURE(Fluid,"vs",$C$6,N68)+273.15</f>
        <v>495.95449279322503</v>
      </c>
      <c r="P68" s="6"/>
      <c r="Q68" s="6"/>
      <c r="R68" s="6">
        <f t="shared" si="3"/>
        <v>12.280707860311058</v>
      </c>
      <c r="S68" s="8">
        <f>_XLL.SPECVOLUME(Fluid,"Ps",R68,T$3)</f>
        <v>0.13834804043655613</v>
      </c>
      <c r="T68" s="1"/>
      <c r="V68" s="6">
        <f t="shared" si="4"/>
        <v>25.613661983034604</v>
      </c>
      <c r="W68" s="8">
        <f>_XLL.SPECVOLUME(Fluid,"Ps",V68,X$3)</f>
        <v>0.18486684871542036</v>
      </c>
      <c r="X68" s="1"/>
      <c r="Z68" s="8"/>
      <c r="AE68" s="8"/>
    </row>
    <row r="69" spans="1:31" ht="15">
      <c r="A69">
        <f t="shared" si="2"/>
        <v>1575</v>
      </c>
      <c r="B69">
        <f>_XLL.ENTROPY(Fluid,"Tv",A69-273.15,$B$6)</f>
        <v>7.569208738411324</v>
      </c>
      <c r="C69">
        <f>_XLL.ENTROPY(Fluid,"Tv",A69-273.15,$C$6)</f>
        <v>8.183407863260374</v>
      </c>
      <c r="D69">
        <f>_XLL.ENTROPY(Fluid,"PT",$D$6,A69-273.15)</f>
        <v>8.665948568742078</v>
      </c>
      <c r="F69">
        <v>0.61</v>
      </c>
      <c r="G69">
        <f>_XLL.PRESSURE(Fluid,"vs",F69,G$6)</f>
        <v>1.5603868536352121</v>
      </c>
      <c r="H69">
        <f>_XLL.PRESSURE(Fluid,"vs",F69,H$6)</f>
        <v>5.31855831351035</v>
      </c>
      <c r="J69" s="1">
        <f t="shared" si="5"/>
        <v>7.4235876758789106</v>
      </c>
      <c r="K69" s="6">
        <f>_XLL.TEMPERATURE(Fluid,"vs",$B$6,J69)+273.15</f>
        <v>1343.6931464862646</v>
      </c>
      <c r="L69" s="6"/>
      <c r="M69" s="6"/>
      <c r="N69" s="1">
        <f t="shared" si="6"/>
        <v>7.213766486369179</v>
      </c>
      <c r="O69" s="6">
        <f>_XLL.TEMPERATURE(Fluid,"vs",$C$6,N69)+273.15</f>
        <v>489.610657059204</v>
      </c>
      <c r="P69" s="6"/>
      <c r="Q69" s="6"/>
      <c r="R69" s="6">
        <f t="shared" si="3"/>
        <v>12.468502991316242</v>
      </c>
      <c r="S69" s="8">
        <f>_XLL.SPECVOLUME(Fluid,"Ps",R69,T$3)</f>
        <v>0.136831447409681</v>
      </c>
      <c r="T69" s="1"/>
      <c r="V69" s="6">
        <f t="shared" si="4"/>
        <v>25.061478516682147</v>
      </c>
      <c r="W69" s="8">
        <f>_XLL.SPECVOLUME(Fluid,"Ps",V69,X$3)</f>
        <v>0.18797652422204694</v>
      </c>
      <c r="X69" s="1"/>
      <c r="Z69" s="8"/>
      <c r="AE69" s="8"/>
    </row>
    <row r="70" spans="1:31" ht="15">
      <c r="A70">
        <f t="shared" si="2"/>
        <v>1600</v>
      </c>
      <c r="B70">
        <f>_XLL.ENTROPY(Fluid,"Tv",A70-273.15,$B$6)</f>
        <v>7.58386775501404</v>
      </c>
      <c r="C70">
        <f>_XLL.ENTROPY(Fluid,"Tv",A70-273.15,$C$6)</f>
        <v>8.198066879863092</v>
      </c>
      <c r="D70">
        <f>_XLL.ENTROPY(Fluid,"PT",$D$6,A70-273.15)</f>
        <v>8.685127364794901</v>
      </c>
      <c r="F70">
        <v>0.62</v>
      </c>
      <c r="G70">
        <f>_XLL.PRESSURE(Fluid,"vs",F70,G$6)</f>
        <v>1.5252862286302706</v>
      </c>
      <c r="H70">
        <f>_XLL.PRESSURE(Fluid,"vs",F70,H$6)</f>
        <v>5.2049068911575205</v>
      </c>
      <c r="J70" s="1">
        <f t="shared" si="5"/>
        <v>7.433125002674808</v>
      </c>
      <c r="K70" s="6">
        <f>_XLL.TEMPERATURE(Fluid,"vs",$B$6,J70)+273.15</f>
        <v>1357.934086589461</v>
      </c>
      <c r="L70" s="6"/>
      <c r="M70" s="6"/>
      <c r="N70" s="1">
        <f t="shared" si="6"/>
        <v>7.2042291595732815</v>
      </c>
      <c r="O70" s="6">
        <f>_XLL.TEMPERATURE(Fluid,"vs",$C$6,N70)+273.15</f>
        <v>483.3381751909608</v>
      </c>
      <c r="P70" s="6"/>
      <c r="Q70" s="6"/>
      <c r="R70" s="6">
        <f t="shared" si="3"/>
        <v>12.656298122321427</v>
      </c>
      <c r="S70" s="8">
        <f>_XLL.SPECVOLUME(Fluid,"Ps",R70,T$3)</f>
        <v>0.13535349094650123</v>
      </c>
      <c r="T70" s="1"/>
      <c r="V70" s="6">
        <f t="shared" si="4"/>
        <v>24.50929505032969</v>
      </c>
      <c r="W70" s="8">
        <f>_XLL.SPECVOLUME(Fluid,"Ps",V70,X$3)</f>
        <v>0.19120891252089597</v>
      </c>
      <c r="X70" s="1"/>
      <c r="Z70" s="8"/>
      <c r="AE70" s="8"/>
    </row>
    <row r="71" spans="1:31" ht="15">
      <c r="A71">
        <f t="shared" si="2"/>
        <v>1625</v>
      </c>
      <c r="B71">
        <f>_XLL.ENTROPY(Fluid,"Tv",A71-273.15,$B$6)</f>
        <v>7.5983372038413455</v>
      </c>
      <c r="C71">
        <f>_XLL.ENTROPY(Fluid,"Tv",A71-273.15,$C$6)</f>
        <v>8.212536328690394</v>
      </c>
      <c r="D71">
        <f>_XLL.ENTROPY(Fluid,"PT",$D$6,A71-273.15)</f>
        <v>8.704046516142773</v>
      </c>
      <c r="F71">
        <v>0.63</v>
      </c>
      <c r="G71">
        <f>_XLL.PRESSURE(Fluid,"vs",F71,G$6)</f>
        <v>1.4915160404122771</v>
      </c>
      <c r="H71">
        <f>_XLL.PRESSURE(Fluid,"vs",F71,H$6)</f>
        <v>5.095416976862843</v>
      </c>
      <c r="J71" s="1">
        <f t="shared" si="5"/>
        <v>7.442662329470706</v>
      </c>
      <c r="K71" s="6">
        <f>_XLL.TEMPERATURE(Fluid,"vs",$B$6,J71)+273.15</f>
        <v>1372.2979281024714</v>
      </c>
      <c r="L71" s="6"/>
      <c r="M71" s="6"/>
      <c r="N71" s="1">
        <f t="shared" si="6"/>
        <v>7.194691832777384</v>
      </c>
      <c r="O71" s="6">
        <f>_XLL.TEMPERATURE(Fluid,"vs",$C$6,N71)+273.15</f>
        <v>477.1366312186789</v>
      </c>
      <c r="P71" s="6"/>
      <c r="Q71" s="6"/>
      <c r="R71" s="6">
        <f t="shared" si="3"/>
        <v>12.844093253326612</v>
      </c>
      <c r="S71" s="8">
        <f>_XLL.SPECVOLUME(Fluid,"Ps",R71,T$3)</f>
        <v>0.13391263664900738</v>
      </c>
      <c r="T71" s="1"/>
      <c r="V71" s="6">
        <f t="shared" si="4"/>
        <v>23.957111583977234</v>
      </c>
      <c r="W71" s="8">
        <f>_XLL.SPECVOLUME(Fluid,"Ps",V71,X$3)</f>
        <v>0.19457177265665357</v>
      </c>
      <c r="X71" s="1"/>
      <c r="Z71" s="8"/>
      <c r="AE71" s="8"/>
    </row>
    <row r="72" spans="1:31" ht="15">
      <c r="A72">
        <f t="shared" si="2"/>
        <v>1650</v>
      </c>
      <c r="B72">
        <f>_XLL.ENTROPY(Fluid,"Tv",A72-273.15,$B$6)</f>
        <v>7.6126219796911725</v>
      </c>
      <c r="C72">
        <f>_XLL.ENTROPY(Fluid,"Tv",A72-273.15,$C$6)</f>
        <v>8.226821104540225</v>
      </c>
      <c r="D72">
        <f>_XLL.ENTROPY(Fluid,"PT",$D$6,A72-273.15)</f>
        <v>8.722713057463848</v>
      </c>
      <c r="F72">
        <v>0.64</v>
      </c>
      <c r="G72">
        <f>_XLL.PRESSURE(Fluid,"vs",F72,G$6)</f>
        <v>1.4590060285908264</v>
      </c>
      <c r="H72">
        <f>_XLL.PRESSURE(Fluid,"vs",F72,H$6)</f>
        <v>4.989874193361736</v>
      </c>
      <c r="J72" s="1">
        <f t="shared" si="5"/>
        <v>7.452199656266604</v>
      </c>
      <c r="K72" s="6">
        <f>_XLL.TEMPERATURE(Fluid,"vs",$B$6,J72)+273.15</f>
        <v>1386.785631985509</v>
      </c>
      <c r="L72" s="6"/>
      <c r="M72" s="6"/>
      <c r="N72" s="1">
        <f t="shared" si="6"/>
        <v>7.185154505981486</v>
      </c>
      <c r="O72" s="6">
        <f>_XLL.TEMPERATURE(Fluid,"vs",$C$6,N72)+273.15</f>
        <v>471.00560300554406</v>
      </c>
      <c r="P72" s="6"/>
      <c r="Q72" s="6"/>
      <c r="R72" s="6">
        <f t="shared" si="3"/>
        <v>13.031888384331797</v>
      </c>
      <c r="S72" s="8">
        <f>_XLL.SPECVOLUME(Fluid,"Ps",R72,T$3)</f>
        <v>0.13250743232147097</v>
      </c>
      <c r="T72" s="1"/>
      <c r="V72" s="6">
        <f t="shared" si="4"/>
        <v>23.404928117624777</v>
      </c>
      <c r="W72" s="8">
        <f>_XLL.SPECVOLUME(Fluid,"Ps",V72,X$3)</f>
        <v>0.19807354764049023</v>
      </c>
      <c r="X72" s="1"/>
      <c r="Z72" s="8"/>
      <c r="AE72" s="8"/>
    </row>
    <row r="73" spans="1:31" ht="15">
      <c r="A73">
        <f t="shared" si="2"/>
        <v>1675</v>
      </c>
      <c r="B73">
        <f>_XLL.ENTROPY(Fluid,"Tv",A73-273.15,$B$6)</f>
        <v>7.626726776124403</v>
      </c>
      <c r="C73">
        <f>_XLL.ENTROPY(Fluid,"Tv",A73-273.15,$C$6)</f>
        <v>8.240925900973455</v>
      </c>
      <c r="D73">
        <f>_XLL.ENTROPY(Fluid,"PT",$D$6,A73-273.15)</f>
        <v>8.741133725655825</v>
      </c>
      <c r="F73">
        <v>0.65</v>
      </c>
      <c r="G73">
        <f>_XLL.PRESSURE(Fluid,"vs",F73,G$6)</f>
        <v>1.4276906582502742</v>
      </c>
      <c r="H73">
        <f>_XLL.PRESSURE(Fluid,"vs",F73,H$6)</f>
        <v>4.888078313431563</v>
      </c>
      <c r="J73" s="1">
        <f aca="true" t="shared" si="7" ref="J73:J108">J72+(s_4_GM-s_3_GM)/100</f>
        <v>7.461736983062502</v>
      </c>
      <c r="K73" s="6">
        <f>_XLL.TEMPERATURE(Fluid,"vs",$B$6,J73)+273.15</f>
        <v>1401.3981709099467</v>
      </c>
      <c r="L73" s="6"/>
      <c r="M73" s="6"/>
      <c r="N73" s="1">
        <f aca="true" t="shared" si="8" ref="N73:N108">N72-(s_5_GM-s_2)/100</f>
        <v>7.175617179185588</v>
      </c>
      <c r="O73" s="6">
        <f>_XLL.TEMPERATURE(Fluid,"vs",$C$6,N73)+273.15</f>
        <v>464.94466029073766</v>
      </c>
      <c r="P73" s="6"/>
      <c r="Q73" s="6"/>
      <c r="R73" s="6">
        <f t="shared" si="3"/>
        <v>13.219683515336982</v>
      </c>
      <c r="S73" s="8">
        <f>_XLL.SPECVOLUME(Fluid,"Ps",R73,T$3)</f>
        <v>0.13113650245907296</v>
      </c>
      <c r="T73" s="1"/>
      <c r="V73" s="6">
        <f t="shared" si="4"/>
        <v>22.85274465127232</v>
      </c>
      <c r="W73" s="8">
        <f>_XLL.SPECVOLUME(Fluid,"Ps",V73,X$3)</f>
        <v>0.20172344262255928</v>
      </c>
      <c r="X73" s="1"/>
      <c r="Z73" s="8"/>
      <c r="AE73" s="8"/>
    </row>
    <row r="74" spans="1:31" ht="15">
      <c r="A74">
        <f aca="true" t="shared" si="9" ref="A74:A106">A73+25</f>
        <v>1700</v>
      </c>
      <c r="B74">
        <f>_XLL.ENTROPY(Fluid,"Tv",A74-273.15,$B$6)</f>
        <v>7.640656097164088</v>
      </c>
      <c r="C74">
        <f>_XLL.ENTROPY(Fluid,"Tv",A74-273.15,$C$6)</f>
        <v>8.25485522201314</v>
      </c>
      <c r="D74">
        <f>_XLL.ENTROPY(Fluid,"PT",$D$6,A74-273.15)</f>
        <v>8.75931497725682</v>
      </c>
      <c r="F74">
        <v>0.66</v>
      </c>
      <c r="G74">
        <f>_XLL.PRESSURE(Fluid,"vs",F74,G$6)</f>
        <v>1.3975087359112426</v>
      </c>
      <c r="H74">
        <f>_XLL.PRESSURE(Fluid,"vs",F74,H$6)</f>
        <v>4.789842125685318</v>
      </c>
      <c r="J74" s="1">
        <f t="shared" si="7"/>
        <v>7.4712743098584</v>
      </c>
      <c r="K74" s="6">
        <f>_XLL.TEMPERATURE(Fluid,"vs",$B$6,J74)+273.15</f>
        <v>1416.136529428722</v>
      </c>
      <c r="L74" s="6"/>
      <c r="M74" s="6"/>
      <c r="N74" s="1">
        <f t="shared" si="8"/>
        <v>7.16607985238969</v>
      </c>
      <c r="O74" s="6">
        <f>_XLL.TEMPERATURE(Fluid,"vs",$C$6,N74)+273.15</f>
        <v>458.95336525500795</v>
      </c>
      <c r="P74" s="6"/>
      <c r="Q74" s="6"/>
      <c r="R74" s="6">
        <f aca="true" t="shared" si="10" ref="R74:R87">R73+(S$4-S$3)/100</f>
        <v>13.407478646342167</v>
      </c>
      <c r="S74" s="8">
        <f>_XLL.SPECVOLUME(Fluid,"Ps",R74,T$3)</f>
        <v>0.12979854317823245</v>
      </c>
      <c r="T74" s="1"/>
      <c r="V74" s="6">
        <f aca="true" t="shared" si="11" ref="V74:V108">V73+(W$4-W$3)/100</f>
        <v>22.300561184919864</v>
      </c>
      <c r="W74" s="8">
        <f>_XLL.SPECVOLUME(Fluid,"Ps",V74,X$3)</f>
        <v>0.2055315141445146</v>
      </c>
      <c r="X74" s="1"/>
      <c r="Z74" s="8"/>
      <c r="AE74" s="8"/>
    </row>
    <row r="75" spans="1:31" ht="15">
      <c r="A75">
        <f t="shared" si="9"/>
        <v>1725</v>
      </c>
      <c r="B75">
        <f>_XLL.ENTROPY(Fluid,"Tv",A75-273.15,$B$6)</f>
        <v>7.654414268140649</v>
      </c>
      <c r="C75">
        <f>_XLL.ENTROPY(Fluid,"Tv",A75-273.15,$C$6)</f>
        <v>8.2686133929897</v>
      </c>
      <c r="D75">
        <f>_XLL.ENTROPY(Fluid,"PT",$D$6,A75-273.15)</f>
        <v>8.77726300459449</v>
      </c>
      <c r="F75">
        <v>0.67</v>
      </c>
      <c r="G75">
        <f>_XLL.PRESSURE(Fluid,"vs",F75,G$6)</f>
        <v>1.3684030619262342</v>
      </c>
      <c r="H75">
        <f>_XLL.PRESSURE(Fluid,"vs",F75,H$6)</f>
        <v>4.6949904109029585</v>
      </c>
      <c r="J75" s="1">
        <f t="shared" si="7"/>
        <v>7.480811636654297</v>
      </c>
      <c r="K75" s="6">
        <f>_XLL.TEMPERATURE(Fluid,"vs",$B$6,J75)+273.15</f>
        <v>1431.0017041464084</v>
      </c>
      <c r="L75" s="6"/>
      <c r="M75" s="6"/>
      <c r="N75" s="1">
        <f t="shared" si="8"/>
        <v>7.1565425255937924</v>
      </c>
      <c r="O75" s="6">
        <f>_XLL.TEMPERATURE(Fluid,"vs",$C$6,N75)+273.15</f>
        <v>453.0312726076772</v>
      </c>
      <c r="P75" s="6"/>
      <c r="Q75" s="6"/>
      <c r="R75" s="6">
        <f t="shared" si="10"/>
        <v>13.595273777347352</v>
      </c>
      <c r="S75" s="8">
        <f>_XLL.SPECVOLUME(Fluid,"Ps",R75,T$3)</f>
        <v>0.1284923175476215</v>
      </c>
      <c r="T75" s="1"/>
      <c r="V75" s="6">
        <f t="shared" si="11"/>
        <v>21.748377718567408</v>
      </c>
      <c r="W75" s="8">
        <f>_XLL.SPECVOLUME(Fluid,"Ps",V75,X$3)</f>
        <v>0.20950877236210627</v>
      </c>
      <c r="X75" s="1"/>
      <c r="Z75" s="8"/>
      <c r="AE75" s="8"/>
    </row>
    <row r="76" spans="1:31" ht="15">
      <c r="A76">
        <f t="shared" si="9"/>
        <v>1750</v>
      </c>
      <c r="B76">
        <f>_XLL.ENTROPY(Fluid,"Tv",A76-273.15,$B$6)</f>
        <v>7.66800544575675</v>
      </c>
      <c r="C76">
        <f>_XLL.ENTROPY(Fluid,"Tv",A76-273.15,$C$6)</f>
        <v>8.2822045706058</v>
      </c>
      <c r="D76">
        <f>_XLL.ENTROPY(Fluid,"PT",$D$6,A76-273.15)</f>
        <v>8.79498375077324</v>
      </c>
      <c r="F76">
        <v>0.68</v>
      </c>
      <c r="G76">
        <f>_XLL.PRESSURE(Fluid,"vs",F76,G$6)</f>
        <v>1.3403201153715942</v>
      </c>
      <c r="H76">
        <f>_XLL.PRESSURE(Fluid,"vs",F76,H$6)</f>
        <v>4.603358998775051</v>
      </c>
      <c r="J76" s="1">
        <f t="shared" si="7"/>
        <v>7.490348963450195</v>
      </c>
      <c r="K76" s="6">
        <f>_XLL.TEMPERATURE(Fluid,"vs",$B$6,J76)+273.15</f>
        <v>1445.9947038888345</v>
      </c>
      <c r="L76" s="6"/>
      <c r="M76" s="6"/>
      <c r="N76" s="1">
        <f t="shared" si="8"/>
        <v>7.147005198797895</v>
      </c>
      <c r="O76" s="6">
        <f>_XLL.TEMPERATURE(Fluid,"vs",$C$6,N76)+273.15</f>
        <v>447.17792969392934</v>
      </c>
      <c r="P76" s="6"/>
      <c r="Q76" s="6"/>
      <c r="R76" s="6">
        <f t="shared" si="10"/>
        <v>13.783068908352536</v>
      </c>
      <c r="S76" s="8">
        <f>_XLL.SPECVOLUME(Fluid,"Ps",R76,T$3)</f>
        <v>0.1272166512831475</v>
      </c>
      <c r="T76" s="1"/>
      <c r="V76" s="6">
        <f t="shared" si="11"/>
        <v>21.19619425221495</v>
      </c>
      <c r="W76" s="8">
        <f>_XLL.SPECVOLUME(Fluid,"Ps",V76,X$3)</f>
        <v>0.21366729850766183</v>
      </c>
      <c r="X76" s="1"/>
      <c r="Z76" s="8"/>
      <c r="AE76" s="8"/>
    </row>
    <row r="77" spans="1:31" ht="15">
      <c r="A77">
        <f t="shared" si="9"/>
        <v>1775</v>
      </c>
      <c r="B77">
        <f>_XLL.ENTROPY(Fluid,"Tv",A77-273.15,$B$6)</f>
        <v>7.681433627438272</v>
      </c>
      <c r="C77">
        <f>_XLL.ENTROPY(Fluid,"Tv",A77-273.15,$C$6)</f>
        <v>8.295632752287323</v>
      </c>
      <c r="D77">
        <f>_XLL.ENTROPY(Fluid,"PT",$D$6,A77-273.15)</f>
        <v>8.812482923598385</v>
      </c>
      <c r="F77">
        <v>0.69</v>
      </c>
      <c r="G77">
        <f>_XLL.PRESSURE(Fluid,"vs",F77,G$6)</f>
        <v>1.3132097679745838</v>
      </c>
      <c r="H77">
        <f>_XLL.PRESSURE(Fluid,"vs",F77,H$6)</f>
        <v>4.514793938031665</v>
      </c>
      <c r="J77" s="1">
        <f t="shared" si="7"/>
        <v>7.499886290246093</v>
      </c>
      <c r="K77" s="6">
        <f>_XLL.TEMPERATURE(Fluid,"vs",$B$6,J77)+273.15</f>
        <v>1461.1165498720907</v>
      </c>
      <c r="L77" s="6"/>
      <c r="M77" s="6"/>
      <c r="N77" s="1">
        <f t="shared" si="8"/>
        <v>7.137467872001997</v>
      </c>
      <c r="O77" s="6">
        <f>_XLL.TEMPERATURE(Fluid,"vs",$C$6,N77)+273.15</f>
        <v>441.3928766212392</v>
      </c>
      <c r="P77" s="6"/>
      <c r="Q77" s="6"/>
      <c r="R77" s="6">
        <f t="shared" si="10"/>
        <v>13.970864039357721</v>
      </c>
      <c r="S77" s="8">
        <f>_XLL.SPECVOLUME(Fluid,"Ps",R77,T$3)</f>
        <v>0.12597042877401682</v>
      </c>
      <c r="T77" s="1"/>
      <c r="V77" s="6">
        <f t="shared" si="11"/>
        <v>20.644010785862495</v>
      </c>
      <c r="W77" s="8">
        <f>_XLL.SPECVOLUME(Fluid,"Ps",V77,X$3)</f>
        <v>0.21802038026097795</v>
      </c>
      <c r="X77" s="1"/>
      <c r="Z77" s="8"/>
      <c r="AE77" s="8"/>
    </row>
    <row r="78" spans="1:31" ht="15">
      <c r="A78">
        <f t="shared" si="9"/>
        <v>1800</v>
      </c>
      <c r="B78">
        <f>_XLL.ENTROPY(Fluid,"Tv",A78-273.15,$B$6)</f>
        <v>7.694702660031317</v>
      </c>
      <c r="C78">
        <f>_XLL.ENTROPY(Fluid,"Tv",A78-273.15,$C$6)</f>
        <v>8.30890178488037</v>
      </c>
      <c r="D78">
        <f>_XLL.ENTROPY(Fluid,"PT",$D$6,A78-273.15)</f>
        <v>8.829766008526512</v>
      </c>
      <c r="F78">
        <v>0.7</v>
      </c>
      <c r="G78">
        <f>_XLL.PRESSURE(Fluid,"vs",F78,G$6)</f>
        <v>1.2870250240238716</v>
      </c>
      <c r="H78">
        <f>_XLL.PRESSURE(Fluid,"vs",F78,H$6)</f>
        <v>4.429150713845219</v>
      </c>
      <c r="J78" s="1">
        <f t="shared" si="7"/>
        <v>7.509423617041991</v>
      </c>
      <c r="K78" s="6">
        <f>_XLL.TEMPERATURE(Fluid,"vs",$B$6,J78)+273.15</f>
        <v>1476.3682758128675</v>
      </c>
      <c r="L78" s="6"/>
      <c r="M78" s="6"/>
      <c r="N78" s="1">
        <f t="shared" si="8"/>
        <v>7.127930545206099</v>
      </c>
      <c r="O78" s="6">
        <f>_XLL.TEMPERATURE(Fluid,"vs",$C$6,N78)+273.15</f>
        <v>435.67564640376133</v>
      </c>
      <c r="P78" s="6"/>
      <c r="Q78" s="6"/>
      <c r="R78" s="6">
        <f t="shared" si="10"/>
        <v>14.158659170362906</v>
      </c>
      <c r="S78" s="8">
        <f>_XLL.SPECVOLUME(Fluid,"Ps",R78,T$3)</f>
        <v>0.12475258941035229</v>
      </c>
      <c r="T78" s="1"/>
      <c r="V78" s="6">
        <f t="shared" si="11"/>
        <v>20.09182731951004</v>
      </c>
      <c r="W78" s="8">
        <f>_XLL.SPECVOLUME(Fluid,"Ps",V78,X$3)</f>
        <v>0.2225826687620523</v>
      </c>
      <c r="X78" s="1"/>
      <c r="Z78" s="8"/>
      <c r="AE78" s="8"/>
    </row>
    <row r="79" spans="1:31" ht="15">
      <c r="A79">
        <f t="shared" si="9"/>
        <v>1825</v>
      </c>
      <c r="B79">
        <f>_XLL.ENTROPY(Fluid,"Tv",A79-273.15,$B$6)</f>
        <v>7.7078162478993555</v>
      </c>
      <c r="C79">
        <f>_XLL.ENTROPY(Fluid,"Tv",A79-273.15,$C$6)</f>
        <v>8.322015372748405</v>
      </c>
      <c r="D79">
        <f>_XLL.ENTROPY(Fluid,"PT",$D$6,A79-273.15)</f>
        <v>8.846838280722608</v>
      </c>
      <c r="F79">
        <v>0.71</v>
      </c>
      <c r="G79">
        <f>_XLL.PRESSURE(Fluid,"vs",F79,G$6)</f>
        <v>1.2617217835806809</v>
      </c>
      <c r="H79">
        <f>_XLL.PRESSURE(Fluid,"vs",F79,H$6)</f>
        <v>4.346293547870954</v>
      </c>
      <c r="J79" s="1">
        <f t="shared" si="7"/>
        <v>7.518960943837889</v>
      </c>
      <c r="K79" s="6">
        <f>_XLL.TEMPERATURE(Fluid,"vs",$B$6,J79)+273.15</f>
        <v>1491.7509282130436</v>
      </c>
      <c r="L79" s="6"/>
      <c r="M79" s="6"/>
      <c r="N79" s="1">
        <f t="shared" si="8"/>
        <v>7.118393218410201</v>
      </c>
      <c r="O79" s="6">
        <f>_XLL.TEMPERATURE(Fluid,"vs",$C$6,N79)+273.15</f>
        <v>430.0257651235248</v>
      </c>
      <c r="P79" s="6"/>
      <c r="Q79" s="6"/>
      <c r="R79" s="6">
        <f t="shared" si="10"/>
        <v>14.346454301368091</v>
      </c>
      <c r="S79" s="8">
        <f>_XLL.SPECVOLUME(Fluid,"Ps",R79,T$3)</f>
        <v>0.12356212418582332</v>
      </c>
      <c r="T79" s="1"/>
      <c r="V79" s="6">
        <f t="shared" si="11"/>
        <v>19.539643853157582</v>
      </c>
      <c r="W79" s="8">
        <f>_XLL.SPECVOLUME(Fluid,"Ps",V79,X$3)</f>
        <v>0.22737036027369845</v>
      </c>
      <c r="X79" s="1"/>
      <c r="Z79" s="8"/>
      <c r="AE79" s="8"/>
    </row>
    <row r="80" spans="1:31" ht="15">
      <c r="A80">
        <f t="shared" si="9"/>
        <v>1850</v>
      </c>
      <c r="B80">
        <f>_XLL.ENTROPY(Fluid,"Tv",A80-273.15,$B$6)</f>
        <v>7.72077796046948</v>
      </c>
      <c r="C80">
        <f>_XLL.ENTROPY(Fluid,"Tv",A80-273.15,$C$6)</f>
        <v>8.33497708531853</v>
      </c>
      <c r="D80">
        <f>_XLL.ENTROPY(Fluid,"PT",$D$6,A80-273.15)</f>
        <v>8.8637048162969</v>
      </c>
      <c r="F80">
        <v>0.72</v>
      </c>
      <c r="G80">
        <f>_XLL.PRESSURE(Fluid,"vs",F80,G$6)</f>
        <v>1.2372586265985905</v>
      </c>
      <c r="H80">
        <f>_XLL.PRESSURE(Fluid,"vs",F80,H$6)</f>
        <v>4.266094756722934</v>
      </c>
      <c r="J80" s="1">
        <f t="shared" si="7"/>
        <v>7.528498270633786</v>
      </c>
      <c r="K80" s="6">
        <f>_XLL.TEMPERATURE(Fluid,"vs",$B$6,J80)+273.15</f>
        <v>1507.2655670512531</v>
      </c>
      <c r="L80" s="6"/>
      <c r="M80" s="6"/>
      <c r="N80" s="1">
        <f t="shared" si="8"/>
        <v>7.108855891614303</v>
      </c>
      <c r="O80" s="6">
        <f>_XLL.TEMPERATURE(Fluid,"vs",$C$6,N80)+273.15</f>
        <v>424.4427520653595</v>
      </c>
      <c r="P80" s="6"/>
      <c r="Q80" s="6"/>
      <c r="R80" s="6">
        <f t="shared" si="10"/>
        <v>14.534249432373276</v>
      </c>
      <c r="S80" s="8">
        <f>_XLL.SPECVOLUME(Fluid,"Ps",R80,T$3)</f>
        <v>0.12239807255140187</v>
      </c>
      <c r="T80" s="1"/>
      <c r="V80" s="6">
        <f t="shared" si="11"/>
        <v>18.987460386805125</v>
      </c>
      <c r="W80" s="8">
        <f>_XLL.SPECVOLUME(Fluid,"Ps",V80,X$3)</f>
        <v>0.23240140881284832</v>
      </c>
      <c r="X80" s="1"/>
      <c r="Z80" s="8"/>
      <c r="AE80" s="8"/>
    </row>
    <row r="81" spans="1:31" ht="15">
      <c r="A81">
        <f t="shared" si="9"/>
        <v>1875</v>
      </c>
      <c r="B81">
        <f>_XLL.ENTROPY(Fluid,"Tv",A81-273.15,$B$6)</f>
        <v>7.733591239272184</v>
      </c>
      <c r="C81">
        <f>_XLL.ENTROPY(Fluid,"Tv",A81-273.15,$C$6)</f>
        <v>8.347790364121234</v>
      </c>
      <c r="D81">
        <f>_XLL.ENTROPY(Fluid,"PT",$D$6,A81-273.15)</f>
        <v>8.880370502787487</v>
      </c>
      <c r="F81">
        <v>0.73</v>
      </c>
      <c r="G81">
        <f>_XLL.PRESSURE(Fluid,"vs",F81,G$6)</f>
        <v>1.2135966158575417</v>
      </c>
      <c r="H81">
        <f>_XLL.PRESSURE(Fluid,"vs",F81,H$6)</f>
        <v>4.188434165662482</v>
      </c>
      <c r="J81" s="1">
        <f t="shared" si="7"/>
        <v>7.538035597429684</v>
      </c>
      <c r="K81" s="6">
        <f>_XLL.TEMPERATURE(Fluid,"vs",$B$6,J81)+273.15</f>
        <v>1522.913263772049</v>
      </c>
      <c r="L81" s="6"/>
      <c r="M81" s="6"/>
      <c r="N81" s="1">
        <f t="shared" si="8"/>
        <v>7.099318564818406</v>
      </c>
      <c r="O81" s="6">
        <f>_XLL.TEMPERATURE(Fluid,"vs",$C$6,N81)+273.15</f>
        <v>418.9261201179748</v>
      </c>
      <c r="P81" s="6"/>
      <c r="Q81" s="6"/>
      <c r="R81" s="6">
        <f t="shared" si="10"/>
        <v>14.72204456337846</v>
      </c>
      <c r="S81" s="8">
        <f>_XLL.SPECVOLUME(Fluid,"Ps",R81,T$3)</f>
        <v>0.12125951949870946</v>
      </c>
      <c r="T81" s="1"/>
      <c r="V81" s="6">
        <f t="shared" si="11"/>
        <v>18.43527692045267</v>
      </c>
      <c r="W81" s="8">
        <f>_XLL.SPECVOLUME(Fluid,"Ps",V81,X$3)</f>
        <v>0.23769577479974682</v>
      </c>
      <c r="X81" s="1"/>
      <c r="Z81" s="8"/>
      <c r="AE81" s="8"/>
    </row>
    <row r="82" spans="1:31" ht="15">
      <c r="A82">
        <f t="shared" si="9"/>
        <v>1900</v>
      </c>
      <c r="B82">
        <f>_XLL.ENTROPY(Fluid,"Tv",A82-273.15,$B$6)</f>
        <v>7.746259404514848</v>
      </c>
      <c r="C82">
        <f>_XLL.ENTROPY(Fluid,"Tv",A82-273.15,$C$6)</f>
        <v>8.3604585293639</v>
      </c>
      <c r="D82">
        <f>_XLL.ENTROPY(Fluid,"PT",$D$6,A82-273.15)</f>
        <v>8.896840048948675</v>
      </c>
      <c r="F82">
        <v>0.74</v>
      </c>
      <c r="G82">
        <f>_XLL.PRESSURE(Fluid,"vs",F82,G$6)</f>
        <v>1.1906991168407446</v>
      </c>
      <c r="H82">
        <f>_XLL.PRESSURE(Fluid,"vs",F82,H$6)</f>
        <v>4.1131985720679</v>
      </c>
      <c r="J82" s="1">
        <f t="shared" si="7"/>
        <v>7.547572924225582</v>
      </c>
      <c r="K82" s="6">
        <f>_XLL.TEMPERATURE(Fluid,"vs",$B$6,J82)+273.15</f>
        <v>1538.6951045434134</v>
      </c>
      <c r="L82" s="6"/>
      <c r="M82" s="6"/>
      <c r="N82" s="1">
        <f t="shared" si="8"/>
        <v>7.089781238022508</v>
      </c>
      <c r="O82" s="6">
        <f>_XLL.TEMPERATURE(Fluid,"vs",$C$6,N82)+273.15</f>
        <v>413.4753755594702</v>
      </c>
      <c r="P82" s="6"/>
      <c r="Q82" s="6"/>
      <c r="R82" s="6">
        <f t="shared" si="10"/>
        <v>14.909839694383646</v>
      </c>
      <c r="S82" s="8">
        <f>_XLL.SPECVOLUME(Fluid,"Ps",R82,T$3)</f>
        <v>0.12014559285351276</v>
      </c>
      <c r="T82" s="1"/>
      <c r="V82" s="6">
        <f t="shared" si="11"/>
        <v>17.883093454100212</v>
      </c>
      <c r="W82" s="8">
        <f>_XLL.SPECVOLUME(Fluid,"Ps",V82,X$3)</f>
        <v>0.24327571774295845</v>
      </c>
      <c r="X82" s="1"/>
      <c r="Z82" s="8"/>
      <c r="AE82" s="8"/>
    </row>
    <row r="83" spans="1:31" ht="15">
      <c r="A83">
        <f t="shared" si="9"/>
        <v>1925</v>
      </c>
      <c r="B83">
        <f>_XLL.ENTROPY(Fluid,"Tv",A83-273.15,$B$6)</f>
        <v>7.75878566122559</v>
      </c>
      <c r="C83">
        <f>_XLL.ENTROPY(Fluid,"Tv",A83-273.15,$C$6)</f>
        <v>8.37298478607464</v>
      </c>
      <c r="D83">
        <f>_XLL.ENTROPY(Fluid,"PT",$D$6,A83-273.15)</f>
        <v>8.913117993899517</v>
      </c>
      <c r="F83">
        <v>0.75</v>
      </c>
      <c r="G83">
        <f>_XLL.PRESSURE(Fluid,"vs",F83,G$6)</f>
        <v>1.1685316328780937</v>
      </c>
      <c r="H83">
        <f>_XLL.PRESSURE(Fluid,"vs",F83,H$6)</f>
        <v>4.040281253853937</v>
      </c>
      <c r="J83" s="1">
        <f t="shared" si="7"/>
        <v>7.55711025102148</v>
      </c>
      <c r="K83" s="6">
        <f>_XLL.TEMPERATURE(Fluid,"vs",$B$6,J83)+273.15</f>
        <v>1554.612188418978</v>
      </c>
      <c r="L83" s="6"/>
      <c r="M83" s="6"/>
      <c r="N83" s="1">
        <f t="shared" si="8"/>
        <v>7.08024391122661</v>
      </c>
      <c r="O83" s="6">
        <f>_XLL.TEMPERATURE(Fluid,"vs",$C$6,N83)+273.15</f>
        <v>408.0900186939182</v>
      </c>
      <c r="P83" s="6"/>
      <c r="Q83" s="6"/>
      <c r="R83" s="6">
        <f t="shared" si="10"/>
        <v>15.09763482538883</v>
      </c>
      <c r="S83" s="8">
        <f>_XLL.SPECVOLUME(Fluid,"Ps",R83,T$3)</f>
        <v>0.11905546076179571</v>
      </c>
      <c r="T83" s="1"/>
      <c r="V83" s="6">
        <f t="shared" si="11"/>
        <v>17.330909987747756</v>
      </c>
      <c r="W83" s="8">
        <f>_XLL.SPECVOLUME(Fluid,"Ps",V83,X$3)</f>
        <v>0.2491661421558093</v>
      </c>
      <c r="X83" s="1"/>
      <c r="Z83" s="8"/>
      <c r="AE83" s="8"/>
    </row>
    <row r="84" spans="1:31" ht="15">
      <c r="A84">
        <f t="shared" si="9"/>
        <v>1950</v>
      </c>
      <c r="B84">
        <f>_XLL.ENTROPY(Fluid,"Tv",A84-273.15,$B$6)</f>
        <v>7.771173105000664</v>
      </c>
      <c r="C84">
        <f>_XLL.ENTROPY(Fluid,"Tv",A84-273.15,$C$6)</f>
        <v>8.385372229849716</v>
      </c>
      <c r="D84">
        <f>_XLL.ENTROPY(Fluid,"PT",$D$6,A84-273.15)</f>
        <v>8.929208715682051</v>
      </c>
      <c r="F84">
        <v>0.76</v>
      </c>
      <c r="G84">
        <f>_XLL.PRESSURE(Fluid,"vs",F84,G$6)</f>
        <v>1.147061654107225</v>
      </c>
      <c r="H84">
        <f>_XLL.PRESSURE(Fluid,"vs",F84,H$6)</f>
        <v>3.969581518535356</v>
      </c>
      <c r="J84" s="1">
        <f t="shared" si="7"/>
        <v>7.566647577817378</v>
      </c>
      <c r="K84" s="6">
        <f>_XLL.TEMPERATURE(Fluid,"vs",$B$6,J84)+273.15</f>
        <v>1570.6656279987533</v>
      </c>
      <c r="L84" s="6"/>
      <c r="M84" s="6"/>
      <c r="N84" s="1">
        <f t="shared" si="8"/>
        <v>7.070706584430712</v>
      </c>
      <c r="O84" s="6">
        <f>_XLL.TEMPERATURE(Fluid,"vs",$C$6,N84)+273.15</f>
        <v>402.76954387022545</v>
      </c>
      <c r="P84" s="6"/>
      <c r="Q84" s="6"/>
      <c r="R84" s="6">
        <f t="shared" si="10"/>
        <v>15.285429956394015</v>
      </c>
      <c r="S84" s="8">
        <f>_XLL.SPECVOLUME(Fluid,"Ps",R84,T$3)</f>
        <v>0.11798832934782358</v>
      </c>
      <c r="T84" s="1"/>
      <c r="V84" s="6">
        <f t="shared" si="11"/>
        <v>16.7787265213953</v>
      </c>
      <c r="W84" s="8">
        <f>_XLL.SPECVOLUME(Fluid,"Ps",V84,X$3)</f>
        <v>0.25539500857897673</v>
      </c>
      <c r="X84" s="1"/>
      <c r="Z84" s="8"/>
      <c r="AE84" s="8"/>
    </row>
    <row r="85" spans="1:31" ht="15">
      <c r="A85">
        <f t="shared" si="9"/>
        <v>1975</v>
      </c>
      <c r="B85">
        <f>_XLL.ENTROPY(Fluid,"Tv",A85-273.15,$B$6)</f>
        <v>7.783424727385782</v>
      </c>
      <c r="C85">
        <f>_XLL.ENTROPY(Fluid,"Tv",A85-273.15,$C$6)</f>
        <v>8.397623852234833</v>
      </c>
      <c r="D85">
        <f>_XLL.ENTROPY(Fluid,"PT",$D$6,A85-273.15)</f>
        <v>8.94511643927441</v>
      </c>
      <c r="F85">
        <v>0.77</v>
      </c>
      <c r="G85">
        <f>_XLL.PRESSURE(Fluid,"vs",F85,G$6)</f>
        <v>1.1262585189034051</v>
      </c>
      <c r="H85">
        <f>_XLL.PRESSURE(Fluid,"vs",F85,H$6)</f>
        <v>3.9010042890919703</v>
      </c>
      <c r="J85" s="1">
        <f t="shared" si="7"/>
        <v>7.576184904613275</v>
      </c>
      <c r="K85" s="6">
        <f>_XLL.TEMPERATURE(Fluid,"vs",$B$6,J85)+273.15</f>
        <v>1586.8565495880289</v>
      </c>
      <c r="L85" s="6"/>
      <c r="M85" s="6"/>
      <c r="N85" s="1">
        <f t="shared" si="8"/>
        <v>7.061169257634814</v>
      </c>
      <c r="O85" s="6">
        <f>_XLL.TEMPERATURE(Fluid,"vs",$C$6,N85)+273.15</f>
        <v>397.5134397626717</v>
      </c>
      <c r="P85" s="6"/>
      <c r="Q85" s="6"/>
      <c r="R85" s="6">
        <f t="shared" si="10"/>
        <v>15.4732250873992</v>
      </c>
      <c r="S85" s="8">
        <f>_XLL.SPECVOLUME(Fluid,"Ps",R85,T$3)</f>
        <v>0.116943440549364</v>
      </c>
      <c r="T85" s="1"/>
      <c r="V85" s="6">
        <f t="shared" si="11"/>
        <v>16.226543055042843</v>
      </c>
      <c r="W85" s="8">
        <f>_XLL.SPECVOLUME(Fluid,"Ps",V85,X$3)</f>
        <v>0.261993824526856</v>
      </c>
      <c r="X85" s="1"/>
      <c r="Z85" s="8"/>
      <c r="AE85" s="8"/>
    </row>
    <row r="86" spans="1:31" ht="15">
      <c r="A86">
        <f t="shared" si="9"/>
        <v>2000</v>
      </c>
      <c r="B86">
        <f>_XLL.ENTROPY(Fluid,"Tv",A86-273.15,$B$6)</f>
        <v>7.795543420918945</v>
      </c>
      <c r="C86">
        <f>_XLL.ENTROPY(Fluid,"Tv",A86-273.15,$C$6)</f>
        <v>8.409742545767994</v>
      </c>
      <c r="D86">
        <f>_XLL.ENTROPY(Fluid,"PT",$D$6,A86-273.15)</f>
        <v>8.960845244099875</v>
      </c>
      <c r="F86">
        <v>0.78</v>
      </c>
      <c r="G86">
        <f>_XLL.PRESSURE(Fluid,"vs",F86,G$6)</f>
        <v>1.1060932866194058</v>
      </c>
      <c r="H86">
        <f>_XLL.PRESSURE(Fluid,"vs",F86,H$6)</f>
        <v>3.834459723199991</v>
      </c>
      <c r="J86" s="1">
        <f t="shared" si="7"/>
        <v>7.585722231409173</v>
      </c>
      <c r="K86" s="6">
        <f>_XLL.TEMPERATURE(Fluid,"vs",$B$6,J86)+273.15</f>
        <v>1603.1860933543348</v>
      </c>
      <c r="L86" s="6"/>
      <c r="M86" s="6"/>
      <c r="N86" s="1">
        <f t="shared" si="8"/>
        <v>7.051631930838917</v>
      </c>
      <c r="O86" s="6">
        <f>_XLL.TEMPERATURE(Fluid,"vs",$C$6,N86)+273.15</f>
        <v>392.3211896184924</v>
      </c>
      <c r="P86" s="6"/>
      <c r="Q86" s="6"/>
      <c r="R86" s="6">
        <f t="shared" si="10"/>
        <v>15.661020218404385</v>
      </c>
      <c r="S86" s="8">
        <f>_XLL.SPECVOLUME(Fluid,"Ps",R86,T$3)</f>
        <v>0.11592007009039113</v>
      </c>
      <c r="T86" s="1"/>
      <c r="V86" s="6">
        <f t="shared" si="11"/>
        <v>15.674359588690386</v>
      </c>
      <c r="W86" s="8">
        <f>_XLL.SPECVOLUME(Fluid,"Ps",V86,X$3)</f>
        <v>0.26899823424187136</v>
      </c>
      <c r="X86" s="1"/>
      <c r="Z86" s="8"/>
      <c r="AE86" s="8"/>
    </row>
    <row r="87" spans="1:31" ht="15">
      <c r="A87">
        <f t="shared" si="9"/>
        <v>2025</v>
      </c>
      <c r="B87">
        <f>_XLL.ENTROPY(Fluid,"Tv",A87-273.15,$B$6)</f>
        <v>7.807531983860031</v>
      </c>
      <c r="C87">
        <f>_XLL.ENTROPY(Fluid,"Tv",A87-273.15,$C$6)</f>
        <v>8.421731108709084</v>
      </c>
      <c r="D87">
        <f>_XLL.ENTROPY(Fluid,"PT",$D$6,A87-273.15)</f>
        <v>8.97639907106956</v>
      </c>
      <c r="F87">
        <v>0.79</v>
      </c>
      <c r="G87">
        <f>_XLL.PRESSURE(Fluid,"vs",F87,G$6)</f>
        <v>1.0865386205763996</v>
      </c>
      <c r="H87">
        <f>_XLL.PRESSURE(Fluid,"vs",F87,H$6)</f>
        <v>3.7698628627547417</v>
      </c>
      <c r="J87" s="1">
        <f t="shared" si="7"/>
        <v>7.595259558205071</v>
      </c>
      <c r="K87" s="6">
        <f>_XLL.TEMPERATURE(Fluid,"vs",$B$6,J87)+273.15</f>
        <v>1619.6554134822354</v>
      </c>
      <c r="L87" s="6"/>
      <c r="M87" s="6"/>
      <c r="N87" s="1">
        <f t="shared" si="8"/>
        <v>7.042094604043019</v>
      </c>
      <c r="O87" s="6">
        <f>_XLL.TEMPERATURE(Fluid,"vs",$C$6,N87)+273.15</f>
        <v>387.19227151334474</v>
      </c>
      <c r="P87" s="6"/>
      <c r="Q87" s="6"/>
      <c r="R87" s="6">
        <f t="shared" si="10"/>
        <v>15.84881534940957</v>
      </c>
      <c r="S87" s="8">
        <f>_XLL.SPECVOLUME(Fluid,"Ps",R87,T$3)</f>
        <v>0.11491752558346367</v>
      </c>
      <c r="T87" s="1"/>
      <c r="V87" s="6">
        <f t="shared" si="11"/>
        <v>15.12217612233793</v>
      </c>
      <c r="W87" s="8">
        <f>_XLL.SPECVOLUME(Fluid,"Ps",V87,X$3)</f>
        <v>0.27644873145285576</v>
      </c>
      <c r="X87" s="1"/>
      <c r="Z87" s="8"/>
      <c r="AE87" s="8"/>
    </row>
    <row r="88" spans="1:31" ht="15">
      <c r="A88">
        <f t="shared" si="9"/>
        <v>2050</v>
      </c>
      <c r="B88">
        <f>_XLL.ENTROPY(Fluid,"Tv",A88-273.15,$B$6)</f>
        <v>7.819393124630214</v>
      </c>
      <c r="C88">
        <f>_XLL.ENTROPY(Fluid,"Tv",A88-273.15,$C$6)</f>
        <v>8.433592249479265</v>
      </c>
      <c r="D88">
        <f>_XLL.ENTROPY(Fluid,"PT",$D$6,A88-273.15)</f>
        <v>8.991781729192926</v>
      </c>
      <c r="F88">
        <v>0.8</v>
      </c>
      <c r="G88">
        <f>_XLL.PRESSURE(Fluid,"vs",F88,G$6)</f>
        <v>1.0675686803639284</v>
      </c>
      <c r="H88">
        <f>_XLL.PRESSURE(Fluid,"vs",F88,H$6)</f>
        <v>3.7071333109278326</v>
      </c>
      <c r="J88" s="1">
        <f t="shared" si="7"/>
        <v>7.604796885000969</v>
      </c>
      <c r="K88" s="6">
        <f>_XLL.TEMPERATURE(Fluid,"vs",$B$6,J88)+273.15</f>
        <v>1636.2656783257248</v>
      </c>
      <c r="L88" s="6"/>
      <c r="M88" s="6"/>
      <c r="N88" s="1">
        <f t="shared" si="8"/>
        <v>7.032557277247121</v>
      </c>
      <c r="O88" s="6">
        <f>_XLL.TEMPERATURE(Fluid,"vs",$C$6,N88)+273.15</f>
        <v>382.1261586135659</v>
      </c>
      <c r="P88" s="6"/>
      <c r="Q88" s="6"/>
      <c r="R88" s="6">
        <f>R87+(S$4-S$3)/100</f>
        <v>16.036610480414755</v>
      </c>
      <c r="S88" s="8">
        <f>_XLL.SPECVOLUME(Fluid,"Ps",R88,T$3)</f>
        <v>0.11393514477276223</v>
      </c>
      <c r="T88" s="1"/>
      <c r="V88" s="6">
        <f t="shared" si="11"/>
        <v>14.569992655985473</v>
      </c>
      <c r="W88" s="8">
        <f>_XLL.SPECVOLUME(Fluid,"Ps",V88,X$3)</f>
        <v>0.2843915263894684</v>
      </c>
      <c r="X88" s="1"/>
      <c r="Z88" s="8"/>
      <c r="AE88" s="8"/>
    </row>
    <row r="89" spans="1:31" ht="15">
      <c r="A89">
        <f t="shared" si="9"/>
        <v>2075</v>
      </c>
      <c r="B89">
        <f>_XLL.ENTROPY(Fluid,"Tv",A89-273.15,$B$6)</f>
        <v>7.831129465982285</v>
      </c>
      <c r="C89">
        <f>_XLL.ENTROPY(Fluid,"Tv",A89-273.15,$C$6)</f>
        <v>8.445328590831336</v>
      </c>
      <c r="D89">
        <f>_XLL.ENTROPY(Fluid,"PT",$D$6,A89-273.15)</f>
        <v>9.006996901787662</v>
      </c>
      <c r="F89">
        <v>0.81</v>
      </c>
      <c r="G89">
        <f>_XLL.PRESSURE(Fluid,"vs",F89,G$6)</f>
        <v>1.0491590226032075</v>
      </c>
      <c r="H89">
        <f>_XLL.PRESSURE(Fluid,"vs",F89,H$6)</f>
        <v>3.6461949342835474</v>
      </c>
      <c r="J89" s="1">
        <f t="shared" si="7"/>
        <v>7.614334211796867</v>
      </c>
      <c r="K89" s="6">
        <f>_XLL.TEMPERATURE(Fluid,"vs",$B$6,J89)+273.15</f>
        <v>1653.0180705580515</v>
      </c>
      <c r="L89" s="6"/>
      <c r="M89" s="6"/>
      <c r="N89" s="1">
        <f t="shared" si="8"/>
        <v>7.023019950451223</v>
      </c>
      <c r="O89" s="6">
        <f>_XLL.TEMPERATURE(Fluid,"vs",$C$6,N89)+273.15</f>
        <v>377.12231944416874</v>
      </c>
      <c r="P89" s="6"/>
      <c r="Q89" s="6"/>
      <c r="R89" s="6">
        <f aca="true" t="shared" si="12" ref="R89:R108">R88+(S$4-S$3)/100</f>
        <v>16.22440561141994</v>
      </c>
      <c r="S89" s="8">
        <f>_XLL.SPECVOLUME(Fluid,"Ps",R89,T$3)</f>
        <v>0.11297229388871088</v>
      </c>
      <c r="T89" s="1"/>
      <c r="V89" s="6">
        <f t="shared" si="11"/>
        <v>14.017809189633017</v>
      </c>
      <c r="W89" s="8">
        <f>_XLL.SPECVOLUME(Fluid,"Ps",V89,X$3)</f>
        <v>0.29287960777881733</v>
      </c>
      <c r="X89" s="1"/>
      <c r="Z89" s="8"/>
      <c r="AE89" s="8"/>
    </row>
    <row r="90" spans="1:31" ht="15">
      <c r="A90">
        <f t="shared" si="9"/>
        <v>2100</v>
      </c>
      <c r="B90">
        <f>_XLL.ENTROPY(Fluid,"Tv",A90-273.15,$B$6)</f>
        <v>7.842743548921253</v>
      </c>
      <c r="C90">
        <f>_XLL.ENTROPY(Fluid,"Tv",A90-273.15,$C$6)</f>
        <v>8.456942673770303</v>
      </c>
      <c r="D90">
        <f>_XLL.ENTROPY(Fluid,"PT",$D$6,A90-273.15)</f>
        <v>9.022048152317701</v>
      </c>
      <c r="F90">
        <v>0.82</v>
      </c>
      <c r="G90">
        <f>_XLL.PRESSURE(Fluid,"vs",F90,G$6)</f>
        <v>1.0312865069619799</v>
      </c>
      <c r="H90">
        <f>_XLL.PRESSURE(Fluid,"vs",F90,H$6)</f>
        <v>3.5869755877291074</v>
      </c>
      <c r="J90" s="1">
        <f t="shared" si="7"/>
        <v>7.6238715385927645</v>
      </c>
      <c r="K90" s="6">
        <f>_XLL.TEMPERATURE(Fluid,"vs",$B$6,J90)+273.15</f>
        <v>1669.9137873186887</v>
      </c>
      <c r="L90" s="6"/>
      <c r="M90" s="6"/>
      <c r="N90" s="1">
        <f t="shared" si="8"/>
        <v>7.013482623655325</v>
      </c>
      <c r="O90" s="6">
        <f>_XLL.TEMPERATURE(Fluid,"vs",$C$6,N90)+273.15</f>
        <v>372.18021816149934</v>
      </c>
      <c r="P90" s="6"/>
      <c r="Q90" s="6"/>
      <c r="R90" s="6">
        <f t="shared" si="12"/>
        <v>16.412200742425124</v>
      </c>
      <c r="S90" s="8">
        <f>_XLL.SPECVOLUME(Fluid,"Ps",R90,T$3)</f>
        <v>0.11202836611027635</v>
      </c>
      <c r="T90" s="1"/>
      <c r="V90" s="6">
        <f t="shared" si="11"/>
        <v>13.46562572328056</v>
      </c>
      <c r="W90" s="8">
        <f>_XLL.SPECVOLUME(Fluid,"Ps",V90,X$3)</f>
        <v>0.30197405339989114</v>
      </c>
      <c r="X90" s="1"/>
      <c r="Z90" s="8"/>
      <c r="AE90" s="8"/>
    </row>
    <row r="91" spans="1:31" ht="15">
      <c r="A91">
        <f t="shared" si="9"/>
        <v>2125</v>
      </c>
      <c r="B91">
        <f>_XLL.ENTROPY(Fluid,"Tv",A91-273.15,$B$6)</f>
        <v>7.854237836392934</v>
      </c>
      <c r="C91">
        <f>_XLL.ENTROPY(Fluid,"Tv",A91-273.15,$C$6)</f>
        <v>8.468436961241984</v>
      </c>
      <c r="D91">
        <f>_XLL.ENTROPY(Fluid,"PT",$D$6,A91-273.15)</f>
        <v>9.036938929885737</v>
      </c>
      <c r="F91">
        <v>0.83</v>
      </c>
      <c r="G91">
        <f>_XLL.PRESSURE(Fluid,"vs",F91,G$6)</f>
        <v>1.0139292214791347</v>
      </c>
      <c r="H91">
        <f>_XLL.PRESSURE(Fluid,"vs",F91,H$6)</f>
        <v>3.5294068602957367</v>
      </c>
      <c r="J91" s="1">
        <f t="shared" si="7"/>
        <v>7.633408865388662</v>
      </c>
      <c r="K91" s="6">
        <f>_XLL.TEMPERATURE(Fluid,"vs",$B$6,J91)+273.15</f>
        <v>1686.9540403572523</v>
      </c>
      <c r="L91" s="6"/>
      <c r="M91" s="6"/>
      <c r="N91" s="1">
        <f t="shared" si="8"/>
        <v>7.003945296859428</v>
      </c>
      <c r="O91" s="6">
        <f>_XLL.TEMPERATURE(Fluid,"vs",$C$6,N91)+273.15</f>
        <v>367.2993148295049</v>
      </c>
      <c r="P91" s="6"/>
      <c r="Q91" s="6"/>
      <c r="R91" s="6">
        <f t="shared" si="12"/>
        <v>16.59999587343031</v>
      </c>
      <c r="S91" s="8">
        <f>_XLL.SPECVOLUME(Fluid,"Ps",R91,T$3)</f>
        <v>0.11110278021320696</v>
      </c>
      <c r="T91" s="1"/>
      <c r="V91" s="6">
        <f t="shared" si="11"/>
        <v>12.913442256928104</v>
      </c>
      <c r="W91" s="8">
        <f>_XLL.SPECVOLUME(Fluid,"Ps",V91,X$3)</f>
        <v>0.3117456603930004</v>
      </c>
      <c r="X91" s="1"/>
      <c r="Z91" s="8"/>
      <c r="AE91" s="8"/>
    </row>
    <row r="92" spans="1:31" ht="15">
      <c r="A92">
        <f t="shared" si="9"/>
        <v>2150</v>
      </c>
      <c r="B92">
        <f>_XLL.ENTROPY(Fluid,"Tv",A92-273.15,$B$6)</f>
        <v>7.865614716756826</v>
      </c>
      <c r="C92">
        <f>_XLL.ENTROPY(Fluid,"Tv",A92-273.15,$C$6)</f>
        <v>8.479813841605875</v>
      </c>
      <c r="D92">
        <f>_XLL.ENTROPY(Fluid,"PT",$D$6,A92-273.15)</f>
        <v>9.051672574404533</v>
      </c>
      <c r="F92">
        <v>0.84</v>
      </c>
      <c r="G92">
        <f>_XLL.PRESSURE(Fluid,"vs",F92,G$6)</f>
        <v>0.9970663896594709</v>
      </c>
      <c r="H92">
        <f>_XLL.PRESSURE(Fluid,"vs",F92,H$6)</f>
        <v>3.473423839944273</v>
      </c>
      <c r="J92" s="1">
        <f t="shared" si="7"/>
        <v>7.64294619218456</v>
      </c>
      <c r="K92" s="6">
        <f>_XLL.TEMPERATURE(Fluid,"vs",$B$6,J92)+273.15</f>
        <v>1704.1400561741398</v>
      </c>
      <c r="L92" s="6"/>
      <c r="M92" s="6"/>
      <c r="N92" s="1">
        <f t="shared" si="8"/>
        <v>6.99440797006353</v>
      </c>
      <c r="O92" s="6">
        <f>_XLL.TEMPERATURE(Fluid,"vs",$C$6,N92)+273.15</f>
        <v>362.47906569852927</v>
      </c>
      <c r="P92" s="6"/>
      <c r="Q92" s="6"/>
      <c r="R92" s="6">
        <f t="shared" si="12"/>
        <v>16.787791004435494</v>
      </c>
      <c r="S92" s="8">
        <f>_XLL.SPECVOLUME(Fluid,"Ps",R92,T$3)</f>
        <v>0.11019497887708343</v>
      </c>
      <c r="T92" s="1"/>
      <c r="V92" s="6">
        <f t="shared" si="11"/>
        <v>12.361258790575647</v>
      </c>
      <c r="W92" s="8">
        <f>_XLL.SPECVOLUME(Fluid,"Ps",V92,X$3)</f>
        <v>0.3222769909779175</v>
      </c>
      <c r="X92" s="1"/>
      <c r="Z92" s="8"/>
      <c r="AE92" s="8"/>
    </row>
    <row r="93" spans="1:31" ht="15">
      <c r="A93">
        <f t="shared" si="9"/>
        <v>2175</v>
      </c>
      <c r="B93">
        <f>_XLL.ENTROPY(Fluid,"Tv",A93-273.15,$B$6)</f>
        <v>7.8768765070582</v>
      </c>
      <c r="C93">
        <f>_XLL.ENTROPY(Fluid,"Tv",A93-273.15,$C$6)</f>
        <v>8.491075631907252</v>
      </c>
      <c r="D93">
        <f>_XLL.ENTROPY(Fluid,"PT",$D$6,A93-273.15)</f>
        <v>9.0662523214693</v>
      </c>
      <c r="F93">
        <v>0.85</v>
      </c>
      <c r="G93">
        <f>_XLL.PRESSURE(Fluid,"vs",F93,G$6)</f>
        <v>0.980678308113529</v>
      </c>
      <c r="H93">
        <f>_XLL.PRESSURE(Fluid,"vs",F93,H$6)</f>
        <v>3.4189648957656376</v>
      </c>
      <c r="J93" s="1">
        <f t="shared" si="7"/>
        <v>7.652483518980458</v>
      </c>
      <c r="K93" s="6">
        <f>_XLL.TEMPERATURE(Fluid,"vs",$B$6,J93)+273.15</f>
        <v>1721.4730761575497</v>
      </c>
      <c r="L93" s="6"/>
      <c r="M93" s="6"/>
      <c r="N93" s="1">
        <f t="shared" si="8"/>
        <v>6.984870643267632</v>
      </c>
      <c r="O93" s="6">
        <f>_XLL.TEMPERATURE(Fluid,"vs",$C$6,N93)+273.15</f>
        <v>357.7189239855941</v>
      </c>
      <c r="P93" s="6"/>
      <c r="Q93" s="6"/>
      <c r="R93" s="6">
        <f t="shared" si="12"/>
        <v>16.97558613544068</v>
      </c>
      <c r="S93" s="8">
        <f>_XLL.SPECVOLUME(Fluid,"Ps",R93,T$3)</f>
        <v>0.10930442794589215</v>
      </c>
      <c r="T93" s="1"/>
      <c r="V93" s="6">
        <f t="shared" si="11"/>
        <v>11.80907532422319</v>
      </c>
      <c r="W93" s="8">
        <f>_XLL.SPECVOLUME(Fluid,"Ps",V93,X$3)</f>
        <v>0.3336649636173937</v>
      </c>
      <c r="X93" s="1"/>
      <c r="Z93" s="8"/>
      <c r="AE93" s="8"/>
    </row>
    <row r="94" spans="1:31" ht="15">
      <c r="A94">
        <f t="shared" si="9"/>
        <v>2200</v>
      </c>
      <c r="B94">
        <f>_XLL.ENTROPY(Fluid,"Tv",A94-273.15,$B$6)</f>
        <v>7.888025456113245</v>
      </c>
      <c r="C94">
        <f>_XLL.ENTROPY(Fluid,"Tv",A94-273.15,$C$6)</f>
        <v>8.502224580962297</v>
      </c>
      <c r="D94">
        <f>_XLL.ENTROPY(Fluid,"PT",$D$6,A94-273.15)</f>
        <v>9.080681306951613</v>
      </c>
      <c r="F94">
        <v>0.86</v>
      </c>
      <c r="G94">
        <f>_XLL.PRESSURE(Fluid,"vs",F94,G$6)</f>
        <v>0.9647462771446591</v>
      </c>
      <c r="H94">
        <f>_XLL.PRESSURE(Fluid,"vs",F94,H$6)</f>
        <v>3.3659714761028647</v>
      </c>
      <c r="J94" s="1">
        <f t="shared" si="7"/>
        <v>7.662020845776356</v>
      </c>
      <c r="K94" s="6">
        <f>_XLL.TEMPERATURE(Fluid,"vs",$B$6,J94)+273.15</f>
        <v>1738.9543567167457</v>
      </c>
      <c r="L94" s="6"/>
      <c r="M94" s="6"/>
      <c r="N94" s="1">
        <f t="shared" si="8"/>
        <v>6.975333316471734</v>
      </c>
      <c r="O94" s="6">
        <f>_XLL.TEMPERATURE(Fluid,"vs",$C$6,N94)+273.15</f>
        <v>353.0183381550287</v>
      </c>
      <c r="P94" s="6"/>
      <c r="Q94" s="6"/>
      <c r="R94" s="6">
        <f t="shared" si="12"/>
        <v>17.163381266445864</v>
      </c>
      <c r="S94" s="8">
        <f>_XLL.SPECVOLUME(Fluid,"Ps",R94,T$3)</f>
        <v>0.1084306148971772</v>
      </c>
      <c r="T94" s="1"/>
      <c r="V94" s="6">
        <f t="shared" si="11"/>
        <v>11.256891857870734</v>
      </c>
      <c r="W94" s="8">
        <f>_XLL.SPECVOLUME(Fluid,"Ps",V94,X$3)</f>
        <v>0.34602416868093333</v>
      </c>
      <c r="X94" s="1"/>
      <c r="Z94" s="8"/>
      <c r="AE94" s="8"/>
    </row>
    <row r="95" spans="1:31" ht="15">
      <c r="A95">
        <f t="shared" si="9"/>
        <v>2225</v>
      </c>
      <c r="B95">
        <f>_XLL.ENTROPY(Fluid,"Tv",A95-273.15,$B$6)</f>
        <v>7.89906374741985</v>
      </c>
      <c r="C95">
        <f>_XLL.ENTROPY(Fluid,"Tv",A95-273.15,$C$6)</f>
        <v>8.513262872268902</v>
      </c>
      <c r="D95">
        <f>_XLL.ENTROPY(Fluid,"PT",$D$6,A95-273.15)</f>
        <v>9.094962571333786</v>
      </c>
      <c r="F95">
        <v>0.87</v>
      </c>
      <c r="G95">
        <f>_XLL.PRESSURE(Fluid,"vs",F95,G$6)</f>
        <v>0.9492525384554572</v>
      </c>
      <c r="H95">
        <f>_XLL.PRESSURE(Fluid,"vs",F95,H$6)</f>
        <v>3.314387921262021</v>
      </c>
      <c r="J95" s="1">
        <f t="shared" si="7"/>
        <v>7.6715581725722535</v>
      </c>
      <c r="K95" s="6">
        <f>_XLL.TEMPERATURE(Fluid,"vs",$B$6,J95)+273.15</f>
        <v>1756.5851694111952</v>
      </c>
      <c r="L95" s="6"/>
      <c r="M95" s="6"/>
      <c r="N95" s="1">
        <f t="shared" si="8"/>
        <v>6.965795989675836</v>
      </c>
      <c r="O95" s="6">
        <f>_XLL.TEMPERATURE(Fluid,"vs",$C$6,N95)+273.15</f>
        <v>348.3767555458096</v>
      </c>
      <c r="P95" s="6"/>
      <c r="Q95" s="6"/>
      <c r="R95" s="6">
        <f t="shared" si="12"/>
        <v>17.35117639745105</v>
      </c>
      <c r="S95" s="8">
        <f>_XLL.SPECVOLUME(Fluid,"Ps",R95,T$3)</f>
        <v>0.10757304782052433</v>
      </c>
      <c r="T95" s="1"/>
      <c r="V95" s="6">
        <f t="shared" si="11"/>
        <v>10.704708391518277</v>
      </c>
      <c r="W95" s="8">
        <f>_XLL.SPECVOLUME(Fluid,"Ps",V95,X$3)</f>
        <v>0.35949115861499026</v>
      </c>
      <c r="X95" s="1"/>
      <c r="Z95" s="8"/>
      <c r="AE95" s="8"/>
    </row>
    <row r="96" spans="1:31" ht="15">
      <c r="A96">
        <f t="shared" si="9"/>
        <v>2250</v>
      </c>
      <c r="B96">
        <f>_XLL.ENTROPY(Fluid,"Tv",A96-273.15,$B$6)</f>
        <v>7.909993501905815</v>
      </c>
      <c r="C96">
        <f>_XLL.ENTROPY(Fluid,"Tv",A96-273.15,$C$6)</f>
        <v>8.524192626754864</v>
      </c>
      <c r="D96">
        <f>_XLL.ENTROPY(Fluid,"PT",$D$6,A96-273.15)</f>
        <v>9.109099063801079</v>
      </c>
      <c r="F96">
        <v>0.88</v>
      </c>
      <c r="G96">
        <f>_XLL.PRESSURE(Fluid,"vs",F96,G$6)</f>
        <v>0.9341802185968583</v>
      </c>
      <c r="H96">
        <f>_XLL.PRESSURE(Fluid,"vs",F96,H$6)</f>
        <v>3.264161289605607</v>
      </c>
      <c r="J96" s="1">
        <f t="shared" si="7"/>
        <v>7.681095499368151</v>
      </c>
      <c r="K96" s="6">
        <f>_XLL.TEMPERATURE(Fluid,"vs",$B$6,J96)+273.15</f>
        <v>1774.3668010753454</v>
      </c>
      <c r="L96" s="6"/>
      <c r="M96" s="6"/>
      <c r="N96" s="1">
        <f t="shared" si="8"/>
        <v>6.9562586628799385</v>
      </c>
      <c r="O96" s="6">
        <f>_XLL.TEMPERATURE(Fluid,"vs",$C$6,N96)+273.15</f>
        <v>343.7936198441095</v>
      </c>
      <c r="P96" s="6"/>
      <c r="Q96" s="6"/>
      <c r="R96" s="6">
        <f t="shared" si="12"/>
        <v>17.538971528456234</v>
      </c>
      <c r="S96" s="8">
        <f>_XLL.SPECVOLUME(Fluid,"Ps",R96,T$3)</f>
        <v>0.10673125437651318</v>
      </c>
      <c r="T96" s="1"/>
      <c r="V96" s="6">
        <f t="shared" si="11"/>
        <v>10.152524925165821</v>
      </c>
      <c r="W96" s="8">
        <f>_XLL.SPECVOLUME(Fluid,"Ps",V96,X$3)</f>
        <v>0.37423006703746997</v>
      </c>
      <c r="X96" s="1"/>
      <c r="Z96" s="8"/>
      <c r="AE96" s="8"/>
    </row>
    <row r="97" spans="1:31" ht="15">
      <c r="A97">
        <f t="shared" si="9"/>
        <v>2275</v>
      </c>
      <c r="B97">
        <f>_XLL.ENTROPY(Fluid,"Tv",A97-273.15,$B$6)</f>
        <v>7.920816780525158</v>
      </c>
      <c r="C97">
        <f>_XLL.ENTROPY(Fluid,"Tv",A97-273.15,$C$6)</f>
        <v>8.53501590537421</v>
      </c>
      <c r="D97">
        <f>_XLL.ENTROPY(Fluid,"PT",$D$6,A97-273.15)</f>
        <v>9.1230936461078</v>
      </c>
      <c r="F97">
        <v>0.89</v>
      </c>
      <c r="G97">
        <f>_XLL.PRESSURE(Fluid,"vs",F97,G$6)</f>
        <v>0.9195132745721831</v>
      </c>
      <c r="H97">
        <f>_XLL.PRESSURE(Fluid,"vs",F97,H$6)</f>
        <v>3.21524422574807</v>
      </c>
      <c r="J97" s="1">
        <f t="shared" si="7"/>
        <v>7.690632826164049</v>
      </c>
      <c r="K97" s="6">
        <f>_XLL.TEMPERATURE(Fluid,"vs",$B$6,J97)+273.15</f>
        <v>1792.3005539387163</v>
      </c>
      <c r="L97" s="6"/>
      <c r="M97" s="6"/>
      <c r="N97" s="1">
        <f t="shared" si="8"/>
        <v>6.946721336084041</v>
      </c>
      <c r="O97" s="6">
        <f>_XLL.TEMPERATURE(Fluid,"vs",$C$6,N97)+273.15</f>
        <v>339.26837252542657</v>
      </c>
      <c r="P97" s="6"/>
      <c r="Q97" s="6"/>
      <c r="R97" s="6">
        <f t="shared" si="12"/>
        <v>17.72676665946142</v>
      </c>
      <c r="S97" s="8">
        <f>_XLL.SPECVOLUME(Fluid,"Ps",R97,T$3)</f>
        <v>0.10590478081873746</v>
      </c>
      <c r="T97" s="1"/>
      <c r="V97" s="6">
        <f t="shared" si="11"/>
        <v>9.600341458813364</v>
      </c>
      <c r="W97" s="8">
        <f>_XLL.SPECVOLUME(Fluid,"Ps",V97,X$3)</f>
        <v>0.39044006763605643</v>
      </c>
      <c r="X97" s="1"/>
      <c r="Z97" s="8"/>
      <c r="AE97" s="8"/>
    </row>
    <row r="98" spans="1:31" ht="15">
      <c r="A98">
        <f t="shared" si="9"/>
        <v>2300</v>
      </c>
      <c r="B98">
        <f>_XLL.ENTROPY(Fluid,"Tv",A98-273.15,$B$6)</f>
        <v>7.931535586712599</v>
      </c>
      <c r="C98">
        <f>_XLL.ENTROPY(Fluid,"Tv",A98-273.15,$C$6)</f>
        <v>8.54573471156165</v>
      </c>
      <c r="D98">
        <f>_XLL.ENTROPY(Fluid,"PT",$D$6,A98-273.15)</f>
        <v>9.136949096232136</v>
      </c>
      <c r="F98">
        <v>0.9</v>
      </c>
      <c r="G98">
        <f>_XLL.PRESSURE(Fluid,"vs",F98,G$6)</f>
        <v>0.9052364445519686</v>
      </c>
      <c r="H98">
        <f>_XLL.PRESSURE(Fluid,"vs",F98,H$6)</f>
        <v>3.16758214874921</v>
      </c>
      <c r="J98" s="1">
        <f t="shared" si="7"/>
        <v>7.700170152959947</v>
      </c>
      <c r="K98" s="6">
        <f>_XLL.TEMPERATURE(Fluid,"vs",$B$6,J98)+273.15</f>
        <v>1810.3877457410917</v>
      </c>
      <c r="L98" s="6"/>
      <c r="M98" s="6"/>
      <c r="N98" s="1">
        <f t="shared" si="8"/>
        <v>6.937184009288143</v>
      </c>
      <c r="O98" s="6">
        <f>_XLL.TEMPERATURE(Fluid,"vs",$C$6,N98)+273.15</f>
        <v>334.80045297747023</v>
      </c>
      <c r="P98" s="6"/>
      <c r="Q98" s="6"/>
      <c r="R98" s="6">
        <f t="shared" si="12"/>
        <v>17.914561790466603</v>
      </c>
      <c r="S98" s="8">
        <f>_XLL.SPECVOLUME(Fluid,"Ps",R98,T$3)</f>
        <v>0.1050931910744498</v>
      </c>
      <c r="T98" s="1"/>
      <c r="V98" s="6">
        <f t="shared" si="11"/>
        <v>9.048157992460908</v>
      </c>
      <c r="W98" s="8">
        <f>_XLL.SPECVOLUME(Fluid,"Ps",V98,X$3)</f>
        <v>0.40836542292842937</v>
      </c>
      <c r="X98" s="1"/>
      <c r="Z98" s="8"/>
      <c r="AE98" s="8"/>
    </row>
    <row r="99" spans="1:31" ht="15">
      <c r="A99">
        <f t="shared" si="9"/>
        <v>2325</v>
      </c>
      <c r="B99">
        <f>_XLL.ENTROPY(Fluid,"Tv",A99-273.15,$B$6)</f>
        <v>7.942151868705314</v>
      </c>
      <c r="C99">
        <f>_XLL.ENTROPY(Fluid,"Tv",A99-273.15,$C$6)</f>
        <v>8.556350993554366</v>
      </c>
      <c r="D99">
        <f>_XLL.ENTROPY(Fluid,"PT",$D$6,A99-273.15)</f>
        <v>9.150668111833413</v>
      </c>
      <c r="F99">
        <v>0.91</v>
      </c>
      <c r="G99">
        <f>_XLL.PRESSURE(Fluid,"vs",F99,G$6)</f>
        <v>0.8913352017144297</v>
      </c>
      <c r="H99">
        <f>_XLL.PRESSURE(Fluid,"vs",F99,H$6)</f>
        <v>3.1211325023692527</v>
      </c>
      <c r="J99" s="1">
        <f t="shared" si="7"/>
        <v>7.709707479755845</v>
      </c>
      <c r="K99" s="6">
        <f>_XLL.TEMPERATURE(Fluid,"vs",$B$6,J99)+273.15</f>
        <v>1828.6297098423506</v>
      </c>
      <c r="L99" s="6"/>
      <c r="M99" s="6"/>
      <c r="N99" s="1">
        <f t="shared" si="8"/>
        <v>6.927646682492245</v>
      </c>
      <c r="O99" s="6">
        <f>_XLL.TEMPERATURE(Fluid,"vs",$C$6,N99)+273.15</f>
        <v>330.38929876683835</v>
      </c>
      <c r="P99" s="6"/>
      <c r="Q99" s="6"/>
      <c r="R99" s="6">
        <f t="shared" si="12"/>
        <v>18.102356921471788</v>
      </c>
      <c r="S99" s="8">
        <f>_XLL.SPECVOLUME(Fluid,"Ps",R99,T$3)</f>
        <v>0.10429606587974799</v>
      </c>
      <c r="T99" s="1"/>
      <c r="V99" s="6">
        <f t="shared" si="11"/>
        <v>8.495974526108451</v>
      </c>
      <c r="W99" s="8">
        <f>_XLL.SPECVOLUME(Fluid,"Ps",V99,X$3)</f>
        <v>0.4283092467146184</v>
      </c>
      <c r="X99" s="1"/>
      <c r="Z99" s="8"/>
      <c r="AE99" s="8"/>
    </row>
    <row r="100" spans="1:31" ht="15">
      <c r="A100">
        <f t="shared" si="9"/>
        <v>2350</v>
      </c>
      <c r="B100">
        <f>_XLL.ENTROPY(Fluid,"Tv",A100-273.15,$B$6)</f>
        <v>7.952667521740553</v>
      </c>
      <c r="C100">
        <f>_XLL.ENTROPY(Fluid,"Tv",A100-273.15,$C$6)</f>
        <v>8.566866646589602</v>
      </c>
      <c r="D100">
        <f>_XLL.ENTROPY(Fluid,"PT",$D$6,A100-273.15)</f>
        <v>9.164253313524465</v>
      </c>
      <c r="F100">
        <v>0.92</v>
      </c>
      <c r="G100">
        <f>_XLL.PRESSURE(Fluid,"vs",F100,G$6)</f>
        <v>0.8777957112914527</v>
      </c>
      <c r="H100">
        <f>_XLL.PRESSURE(Fluid,"vs",F100,H$6)</f>
        <v>3.0758516879280244</v>
      </c>
      <c r="J100" s="1">
        <f t="shared" si="7"/>
        <v>7.7192448065517425</v>
      </c>
      <c r="K100" s="6">
        <f>_XLL.TEMPERATURE(Fluid,"vs",$B$6,J100)+273.15</f>
        <v>1847.0277953267696</v>
      </c>
      <c r="L100" s="6"/>
      <c r="M100" s="6"/>
      <c r="N100" s="1">
        <f t="shared" si="8"/>
        <v>6.918109355696347</v>
      </c>
      <c r="O100" s="6">
        <f>_XLL.TEMPERATURE(Fluid,"vs",$C$6,N100)+273.15</f>
        <v>326.03434591740483</v>
      </c>
      <c r="P100" s="6"/>
      <c r="Q100" s="6"/>
      <c r="R100" s="6">
        <f t="shared" si="12"/>
        <v>18.290152052476973</v>
      </c>
      <c r="S100" s="8">
        <f>_XLL.SPECVOLUME(Fluid,"Ps",R100,T$3)</f>
        <v>0.10351300196553397</v>
      </c>
      <c r="T100" s="1"/>
      <c r="V100" s="6">
        <f t="shared" si="11"/>
        <v>7.943791059755995</v>
      </c>
      <c r="W100" s="8">
        <f>_XLL.SPECVOLUME(Fluid,"Ps",V100,X$3)</f>
        <v>0.45065270264267887</v>
      </c>
      <c r="X100" s="1"/>
      <c r="Z100" s="8"/>
      <c r="AE100" s="8"/>
    </row>
    <row r="101" spans="1:31" ht="15">
      <c r="A101">
        <f t="shared" si="9"/>
        <v>2375</v>
      </c>
      <c r="B101">
        <f>_XLL.ENTROPY(Fluid,"Tv",A101-273.15,$B$6)</f>
        <v>7.963084390136956</v>
      </c>
      <c r="C101">
        <f>_XLL.ENTROPY(Fluid,"Tv",A101-273.15,$C$6)</f>
        <v>8.577283514986005</v>
      </c>
      <c r="D101">
        <f>_XLL.ENTROPY(Fluid,"PT",$D$6,A101-273.15)</f>
        <v>9.177707247970853</v>
      </c>
      <c r="F101">
        <v>0.93</v>
      </c>
      <c r="G101">
        <f>_XLL.PRESSURE(Fluid,"vs",F101,G$6)</f>
        <v>0.8646047905558083</v>
      </c>
      <c r="H101">
        <f>_XLL.PRESSURE(Fluid,"vs",F101,H$6)</f>
        <v>3.0316981307752693</v>
      </c>
      <c r="J101" s="1">
        <f t="shared" si="7"/>
        <v>7.72878213334764</v>
      </c>
      <c r="K101" s="6">
        <f>_XLL.TEMPERATURE(Fluid,"vs",$B$6,J101)+273.15</f>
        <v>1865.5833671013952</v>
      </c>
      <c r="L101" s="6"/>
      <c r="M101" s="6"/>
      <c r="N101" s="1">
        <f t="shared" si="8"/>
        <v>6.9085720289004495</v>
      </c>
      <c r="O101" s="6">
        <f>_XLL.TEMPERATURE(Fluid,"vs",$C$6,N101)+273.15</f>
        <v>321.73502918552737</v>
      </c>
      <c r="P101" s="6"/>
      <c r="Q101" s="6"/>
      <c r="R101" s="6">
        <f t="shared" si="12"/>
        <v>18.477947183482158</v>
      </c>
      <c r="S101" s="8">
        <f>_XLL.SPECVOLUME(Fluid,"Ps",R101,T$3)</f>
        <v>0.10274361129078009</v>
      </c>
      <c r="T101" s="1"/>
      <c r="V101" s="6">
        <f t="shared" si="11"/>
        <v>7.391607593403538</v>
      </c>
      <c r="W101" s="8">
        <f>_XLL.SPECVOLUME(Fluid,"Ps",V101,X$3)</f>
        <v>0.4758823465774342</v>
      </c>
      <c r="X101" s="1"/>
      <c r="Z101" s="8"/>
      <c r="AE101" s="8"/>
    </row>
    <row r="102" spans="1:31" ht="15">
      <c r="A102">
        <f t="shared" si="9"/>
        <v>2400</v>
      </c>
      <c r="B102">
        <f>_XLL.ENTROPY(Fluid,"Tv",A102-273.15,$B$6)</f>
        <v>7.973404269266909</v>
      </c>
      <c r="C102">
        <f>_XLL.ENTROPY(Fluid,"Tv",A102-273.15,$C$6)</f>
        <v>8.587603394115959</v>
      </c>
      <c r="D102">
        <f>_XLL.ENTROPY(Fluid,"PT",$D$6,A102-273.15)</f>
        <v>9.1910323908278</v>
      </c>
      <c r="F102">
        <v>0.94</v>
      </c>
      <c r="G102">
        <f>_XLL.PRESSURE(Fluid,"vs",F102,G$6)</f>
        <v>0.8517498715204779</v>
      </c>
      <c r="H102">
        <f>_XLL.PRESSURE(Fluid,"vs",F102,H$6)</f>
        <v>2.9886321567573124</v>
      </c>
      <c r="J102" s="1">
        <f t="shared" si="7"/>
        <v>7.738319460143538</v>
      </c>
      <c r="K102" s="6">
        <f>_XLL.TEMPERATURE(Fluid,"vs",$B$6,J102)+273.15</f>
        <v>1884.2978059881339</v>
      </c>
      <c r="L102" s="6"/>
      <c r="M102" s="6"/>
      <c r="N102" s="1">
        <f t="shared" si="8"/>
        <v>6.899034702104552</v>
      </c>
      <c r="O102" s="6">
        <f>_XLL.TEMPERATURE(Fluid,"vs",$C$6,N102)+273.15</f>
        <v>317.4907823315736</v>
      </c>
      <c r="P102" s="6"/>
      <c r="Q102" s="6"/>
      <c r="R102" s="6">
        <f t="shared" si="12"/>
        <v>18.665742314487343</v>
      </c>
      <c r="S102" s="8">
        <f>_XLL.SPECVOLUME(Fluid,"Ps",R102,T$3)</f>
        <v>0.10198752031990939</v>
      </c>
      <c r="T102" s="1"/>
      <c r="V102" s="6">
        <f t="shared" si="11"/>
        <v>6.839424127051082</v>
      </c>
      <c r="W102" s="8">
        <f>_XLL.SPECVOLUME(Fluid,"Ps",V102,X$3)</f>
        <v>0.5046299930454907</v>
      </c>
      <c r="X102" s="1"/>
      <c r="Z102" s="8"/>
      <c r="AE102" s="8"/>
    </row>
    <row r="103" spans="1:31" ht="15">
      <c r="A103">
        <f t="shared" si="9"/>
        <v>2425</v>
      </c>
      <c r="B103">
        <f>_XLL.ENTROPY(Fluid,"Tv",A103-273.15,$B$6)</f>
        <v>7.983628907426689</v>
      </c>
      <c r="C103">
        <f>_XLL.ENTROPY(Fluid,"Tv",A103-273.15,$C$6)</f>
        <v>8.59782803227574</v>
      </c>
      <c r="D103">
        <f>_XLL.ENTROPY(Fluid,"PT",$D$6,A103-273.15)</f>
        <v>9.204231149524968</v>
      </c>
      <c r="F103">
        <v>0.95</v>
      </c>
      <c r="G103">
        <f>_XLL.PRESSURE(Fluid,"vs",F103,G$6)</f>
        <v>0.8392189661397118</v>
      </c>
      <c r="H103">
        <f>_XLL.PRESSURE(Fluid,"vs",F103,H$6)</f>
        <v>2.9466158925347687</v>
      </c>
      <c r="J103" s="1">
        <f t="shared" si="7"/>
        <v>7.747856786939436</v>
      </c>
      <c r="K103" s="6">
        <f>_XLL.TEMPERATURE(Fluid,"vs",$B$6,J103)+273.15</f>
        <v>1903.172508809244</v>
      </c>
      <c r="L103" s="6"/>
      <c r="M103" s="6"/>
      <c r="N103" s="1">
        <f t="shared" si="8"/>
        <v>6.889497375308654</v>
      </c>
      <c r="O103" s="6">
        <f>_XLL.TEMPERATURE(Fluid,"vs",$C$6,N103)+273.15</f>
        <v>313.30103838731947</v>
      </c>
      <c r="P103" s="6"/>
      <c r="Q103" s="6"/>
      <c r="R103" s="6">
        <f t="shared" si="12"/>
        <v>18.853537445492528</v>
      </c>
      <c r="S103" s="8">
        <f>_XLL.SPECVOLUME(Fluid,"Ps",R103,T$3)</f>
        <v>0.1012443693413266</v>
      </c>
      <c r="T103" s="1"/>
      <c r="V103" s="6">
        <f t="shared" si="11"/>
        <v>6.287240660698625</v>
      </c>
      <c r="W103" s="8">
        <f>_XLL.SPECVOLUME(Fluid,"Ps",V103,X$3)</f>
        <v>0.5377324267287926</v>
      </c>
      <c r="X103" s="1"/>
      <c r="Z103" s="8"/>
      <c r="AE103" s="8"/>
    </row>
    <row r="104" spans="1:31" ht="15">
      <c r="A104">
        <f t="shared" si="9"/>
        <v>2450</v>
      </c>
      <c r="B104">
        <f>_XLL.ENTROPY(Fluid,"Tv",A104-273.15,$B$6)</f>
        <v>7.9937600076107</v>
      </c>
      <c r="C104">
        <f>_XLL.ENTROPY(Fluid,"Tv",A104-273.15,$C$6)</f>
        <v>8.60795913245975</v>
      </c>
      <c r="D104">
        <f>_XLL.ENTROPY(Fluid,"PT",$D$6,A104-273.15)</f>
        <v>9.217305865908406</v>
      </c>
      <c r="F104">
        <v>0.96</v>
      </c>
      <c r="G104">
        <f>_XLL.PRESSURE(Fluid,"vs",F104,G$6)</f>
        <v>0.8270006338199221</v>
      </c>
      <c r="H104">
        <f>_XLL.PRESSURE(Fluid,"vs",F104,H$6)</f>
        <v>2.9056131639889955</v>
      </c>
      <c r="J104" s="1">
        <f t="shared" si="7"/>
        <v>7.757394113735334</v>
      </c>
      <c r="K104" s="6">
        <f>_XLL.TEMPERATURE(Fluid,"vs",$B$6,J104)+273.15</f>
        <v>1922.2088886014512</v>
      </c>
      <c r="L104" s="6"/>
      <c r="M104" s="6"/>
      <c r="N104" s="1">
        <f t="shared" si="8"/>
        <v>6.879960048512756</v>
      </c>
      <c r="O104" s="6">
        <f>_XLL.TEMPERATURE(Fluid,"vs",$C$6,N104)+273.15</f>
        <v>309.16522991878827</v>
      </c>
      <c r="P104" s="6"/>
      <c r="Q104" s="6"/>
      <c r="R104" s="6">
        <f t="shared" si="12"/>
        <v>19.041332576497712</v>
      </c>
      <c r="S104" s="8">
        <f>_XLL.SPECVOLUME(Fluid,"Ps",R104,T$3)</f>
        <v>0.10051381182438492</v>
      </c>
      <c r="T104" s="1"/>
      <c r="V104" s="6">
        <f t="shared" si="11"/>
        <v>5.735057194346169</v>
      </c>
      <c r="W104" s="8">
        <f>_XLL.SPECVOLUME(Fluid,"Ps",V104,X$3)</f>
        <v>0.576323662358995</v>
      </c>
      <c r="X104" s="1"/>
      <c r="Z104" s="8"/>
      <c r="AE104" s="8"/>
    </row>
    <row r="105" spans="1:31" ht="15">
      <c r="A105">
        <f t="shared" si="9"/>
        <v>2475</v>
      </c>
      <c r="B105">
        <f>_XLL.ENTROPY(Fluid,"Tv",A105-273.15,$B$6)</f>
        <v>8.003799229195657</v>
      </c>
      <c r="C105">
        <f>_XLL.ENTROPY(Fluid,"Tv",A105-273.15,$C$6)</f>
        <v>8.617998354044706</v>
      </c>
      <c r="D105">
        <f>_XLL.ENTROPY(Fluid,"PT",$D$6,A105-273.15)</f>
        <v>9.230258818748359</v>
      </c>
      <c r="F105">
        <v>0.97</v>
      </c>
      <c r="G105">
        <f>_XLL.PRESSURE(Fluid,"vs",F105,G$6)</f>
        <v>0.8150839510649301</v>
      </c>
      <c r="H105">
        <f>_XLL.PRESSURE(Fluid,"vs",F105,H$6)</f>
        <v>2.865589403947508</v>
      </c>
      <c r="J105" s="1">
        <f t="shared" si="7"/>
        <v>7.7669314405312315</v>
      </c>
      <c r="K105" s="6">
        <f>_XLL.TEMPERATURE(Fluid,"vs",$B$6,J105)+273.15</f>
        <v>1941.4083737923838</v>
      </c>
      <c r="L105" s="6"/>
      <c r="M105" s="6"/>
      <c r="N105" s="1">
        <f t="shared" si="8"/>
        <v>6.870422721716858</v>
      </c>
      <c r="O105" s="6">
        <f>_XLL.TEMPERATURE(Fluid,"vs",$C$6,N105)+273.15</f>
        <v>305.08278928417116</v>
      </c>
      <c r="P105" s="6"/>
      <c r="Q105" s="6"/>
      <c r="R105" s="6">
        <f t="shared" si="12"/>
        <v>19.229127707502897</v>
      </c>
      <c r="S105" s="8">
        <f>_XLL.SPECVOLUME(Fluid,"Ps",R105,T$3)</f>
        <v>0.0997955138122554</v>
      </c>
      <c r="T105" s="1"/>
      <c r="V105" s="6">
        <f t="shared" si="11"/>
        <v>5.182873727993712</v>
      </c>
      <c r="W105" s="8">
        <f>_XLL.SPECVOLUME(Fluid,"Ps",V105,X$3)</f>
        <v>0.6219827777547033</v>
      </c>
      <c r="X105" s="1"/>
      <c r="Z105" s="8"/>
      <c r="AE105" s="8"/>
    </row>
    <row r="106" spans="1:31" ht="15">
      <c r="A106">
        <f t="shared" si="9"/>
        <v>2500</v>
      </c>
      <c r="B106">
        <f>_XLL.ENTROPY(Fluid,"Tv",A106-273.15,$B$6)</f>
        <v>8.013748189540099</v>
      </c>
      <c r="C106">
        <f>_XLL.ENTROPY(Fluid,"Tv",A106-273.15,$C$6)</f>
        <v>8.62794731438915</v>
      </c>
      <c r="D106">
        <f>_XLL.ENTROPY(Fluid,"PT",$D$6,A106-273.15)</f>
        <v>9.243092226121101</v>
      </c>
      <c r="F106">
        <v>0.98</v>
      </c>
      <c r="G106">
        <f>_XLL.PRESSURE(Fluid,"vs",F106,G$6)</f>
        <v>0.8034584830951945</v>
      </c>
      <c r="H106">
        <f>_XLL.PRESSURE(Fluid,"vs",F106,H$6)</f>
        <v>2.826511561524068</v>
      </c>
      <c r="J106" s="1">
        <f t="shared" si="7"/>
        <v>7.776468767327129</v>
      </c>
      <c r="K106" s="6">
        <f>_XLL.TEMPERATURE(Fluid,"vs",$B$6,J106)+273.15</f>
        <v>1960.772410580329</v>
      </c>
      <c r="L106" s="6"/>
      <c r="M106" s="6"/>
      <c r="N106" s="1">
        <f t="shared" si="8"/>
        <v>6.8608853949209605</v>
      </c>
      <c r="O106" s="6">
        <f>_XLL.TEMPERATURE(Fluid,"vs",$C$6,N106)+273.15</f>
        <v>301.05314888648866</v>
      </c>
      <c r="P106" s="6"/>
      <c r="Q106" s="6"/>
      <c r="R106" s="6">
        <f t="shared" si="12"/>
        <v>19.416922838508082</v>
      </c>
      <c r="S106" s="8">
        <f>_XLL.SPECVOLUME(Fluid,"Ps",R106,T$3)</f>
        <v>0.09908915334837469</v>
      </c>
      <c r="T106" s="1"/>
      <c r="V106" s="6">
        <f t="shared" si="11"/>
        <v>4.630690261641256</v>
      </c>
      <c r="W106" s="8">
        <f>_XLL.SPECVOLUME(Fluid,"Ps",V106,X$3)</f>
        <v>0.6769812508984068</v>
      </c>
      <c r="X106" s="1"/>
      <c r="Z106" s="8"/>
      <c r="AE106" s="8"/>
    </row>
    <row r="107" spans="2:31" ht="15">
      <c r="F107">
        <v>0.99</v>
      </c>
      <c r="G107">
        <f>_XLL.PRESSURE(Fluid,"vs",F107,G$6)</f>
        <v>0.7921142572940483</v>
      </c>
      <c r="H107">
        <f>_XLL.PRESSURE(Fluid,"vs",F107,H$6)</f>
        <v>2.7883480280002573</v>
      </c>
      <c r="J107" s="1">
        <f t="shared" si="7"/>
        <v>7.786006094123027</v>
      </c>
      <c r="K107" s="6">
        <f>_XLL.TEMPERATURE(Fluid,"vs",$B$6,J107)+273.15</f>
        <v>1980.3024600171261</v>
      </c>
      <c r="L107" s="6"/>
      <c r="M107" s="6"/>
      <c r="N107" s="1">
        <f t="shared" si="8"/>
        <v>6.851348068125063</v>
      </c>
      <c r="O107" s="6">
        <f>_XLL.TEMPERATURE(Fluid,"vs",$C$6,N107)+273.15</f>
        <v>297.0757414207281</v>
      </c>
      <c r="P107" s="6"/>
      <c r="Q107" s="6"/>
      <c r="R107" s="6">
        <f t="shared" si="12"/>
        <v>19.604717969513267</v>
      </c>
      <c r="S107" s="8">
        <f>_XLL.SPECVOLUME(Fluid,"Ps",R107,T$3)</f>
        <v>0.09839441993430317</v>
      </c>
      <c r="T107" s="1"/>
      <c r="V107" s="6">
        <f t="shared" si="11"/>
        <v>4.078506795288799</v>
      </c>
      <c r="W107" s="8">
        <f>_XLL.SPECVOLUME(Fluid,"Ps",V107,X$3)</f>
        <v>0.7447189338023859</v>
      </c>
      <c r="X107" s="1"/>
      <c r="Z107" s="8"/>
      <c r="AE107" s="8"/>
    </row>
    <row r="108" spans="2:31" ht="15">
      <c r="F108">
        <v>1</v>
      </c>
      <c r="G108">
        <f>_XLL.PRESSURE(Fluid,"vs",F108,G$6)</f>
        <v>0.7810417383463762</v>
      </c>
      <c r="H108">
        <f>_XLL.PRESSURE(Fluid,"vs",F108,H$6)</f>
        <v>2.751068553171169</v>
      </c>
      <c r="J108" s="1">
        <f t="shared" si="7"/>
        <v>7.795543420918925</v>
      </c>
      <c r="K108" s="6">
        <f>_XLL.TEMPERATURE(Fluid,"vs",$B$6,J108)+273.15</f>
        <v>1999.9999999652987</v>
      </c>
      <c r="L108" s="6"/>
      <c r="M108" s="6"/>
      <c r="N108" s="1">
        <f t="shared" si="8"/>
        <v>6.841810741329165</v>
      </c>
      <c r="O108" s="6">
        <f>_XLL.TEMPERATURE(Fluid,"vs",$C$6,N108)+273.15</f>
        <v>293.1500001152211</v>
      </c>
      <c r="P108" s="6"/>
      <c r="Q108" s="6"/>
      <c r="R108" s="6">
        <f t="shared" si="12"/>
        <v>19.792513100518452</v>
      </c>
      <c r="S108" s="8">
        <f>_XLL.SPECVOLUME(Fluid,"Ps",R108,T$3)</f>
        <v>0.09771101401699511</v>
      </c>
      <c r="T108" s="1"/>
      <c r="V108" s="6">
        <f t="shared" si="11"/>
        <v>3.5263233289363427</v>
      </c>
      <c r="W108" s="8">
        <f>_XLL.SPECVOLUME(Fluid,"Ps",V108,X$3)</f>
        <v>0.8305436191444628</v>
      </c>
      <c r="X108" s="1"/>
      <c r="Z108" s="8"/>
      <c r="AE108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Emiliano Casati - 3ME</dc:creator>
  <cp:keywords/>
  <dc:description/>
  <cp:lastModifiedBy>Teus</cp:lastModifiedBy>
  <dcterms:created xsi:type="dcterms:W3CDTF">2010-11-11T10:48:59Z</dcterms:created>
  <dcterms:modified xsi:type="dcterms:W3CDTF">2010-12-06T07:36:05Z</dcterms:modified>
  <cp:category/>
  <cp:version/>
  <cp:contentType/>
  <cp:contentStatus/>
</cp:coreProperties>
</file>