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Superheated Rankine Cycle" sheetId="1" r:id="rId1"/>
    <sheet name="data T-s chart" sheetId="2" r:id="rId2"/>
    <sheet name="Chart1" sheetId="3" r:id="rId3"/>
  </sheets>
  <externalReferences>
    <externalReference r:id="rId6"/>
  </externalReferences>
  <definedNames>
    <definedName name="_eta_p1">'Superheated Rankine Cycle'!$D$15</definedName>
    <definedName name="_eta_t">'Superheated Rankine Cycle'!$D$17</definedName>
    <definedName name="_h1">'Superheated Rankine Cycle'!$B$20</definedName>
    <definedName name="_h2">'Superheated Rankine Cycle'!$B$25</definedName>
    <definedName name="_h2is">'Superheated Rankine Cycle'!$B$24</definedName>
    <definedName name="_h3">'Superheated Rankine Cycle'!$B$31</definedName>
    <definedName name="_h4">'Superheated Rankine Cycle'!$B$35</definedName>
    <definedName name="_h4is">'Superheated Rankine Cycle'!$B$34</definedName>
    <definedName name="_h5">'Superheated Rankine Cycle'!$B$41</definedName>
    <definedName name="_h6">'Superheated Rankine Cycle'!$B$49</definedName>
    <definedName name="_h6is">'Superheated Rankine Cycle'!$B$48</definedName>
    <definedName name="_h7">'Superheated Rankine Cycle'!$B$57</definedName>
    <definedName name="_h7is">'Superheated Rankine Cycle'!$B$56</definedName>
    <definedName name="_P1">'Superheated Rankine Cycle'!$B$22</definedName>
    <definedName name="_P3">'Superheated Rankine Cycle'!$B$30</definedName>
    <definedName name="_P4">'Superheated Rankine Cycle'!$I$8</definedName>
    <definedName name="_P5">'Superheated Rankine Cycle'!$B$45</definedName>
    <definedName name="_P6">'Superheated Rankine Cycle'!$I$10</definedName>
    <definedName name="_q_boiler">'Superheated Rankine Cycle'!$B$42</definedName>
    <definedName name="_q7">'Superheated Rankine Cycle'!$B$58</definedName>
    <definedName name="_s1">'Superheated Rankine Cycle'!$B$21</definedName>
    <definedName name="_s3">'Superheated Rankine Cycle'!$B$32</definedName>
    <definedName name="_s5">'Superheated Rankine Cycle'!$B$46</definedName>
    <definedName name="_s6">'Superheated Rankine Cycle'!$B$55</definedName>
    <definedName name="_T1">'Superheated Rankine Cycle'!$I$7</definedName>
    <definedName name="_T5">'Superheated Rankine Cycle'!$I$9</definedName>
    <definedName name="_T7">'Superheated Rankine Cycle'!$I$11</definedName>
    <definedName name="_v1">'Superheated Rankine Cycle'!$F$23</definedName>
    <definedName name="_v3">'Superheated Rankine Cycle'!$F$33</definedName>
    <definedName name="eta_p2">'Superheated Rankine Cycle'!$D$16</definedName>
    <definedName name="Fluid">'Superheated Rankine Cycle'!$D$3</definedName>
    <definedName name="h_pump">'Superheated Rankine Cycle'!$B$20</definedName>
    <definedName name="w_pump1">'Superheated Rankine Cycle'!$B$27</definedName>
    <definedName name="w_pump2">'Superheated Rankine Cycle'!$B$37</definedName>
    <definedName name="w_turb">'Superheated Rankine Cycle'!$B$60</definedName>
    <definedName name="x_extrac">'Superheated Rankine Cycle'!$B$52</definedName>
  </definedNames>
  <calcPr fullCalcOnLoad="1"/>
</workbook>
</file>

<file path=xl/sharedStrings.xml><?xml version="1.0" encoding="utf-8"?>
<sst xmlns="http://schemas.openxmlformats.org/spreadsheetml/2006/main" count="184" uniqueCount="92">
  <si>
    <t xml:space="preserve">Thermodynamic model: </t>
  </si>
  <si>
    <t>Design Data</t>
  </si>
  <si>
    <t>State 1:</t>
  </si>
  <si>
    <t>liquid at 303.15 K</t>
  </si>
  <si>
    <t>K</t>
  </si>
  <si>
    <t>=</t>
  </si>
  <si>
    <t>°C</t>
  </si>
  <si>
    <t>8 MPa</t>
  </si>
  <si>
    <t>MPa</t>
  </si>
  <si>
    <t xml:space="preserve">bar </t>
  </si>
  <si>
    <t>superheated steam at 673.15 K</t>
  </si>
  <si>
    <t>State 4:</t>
  </si>
  <si>
    <t>303.15 K</t>
  </si>
  <si>
    <t>Isentropic efficiencies</t>
  </si>
  <si>
    <t>Turbine:</t>
  </si>
  <si>
    <t>kJ/kg</t>
  </si>
  <si>
    <t>kJ/kgK</t>
  </si>
  <si>
    <t>bar</t>
  </si>
  <si>
    <t>m3/kg</t>
  </si>
  <si>
    <t>System efficiency</t>
  </si>
  <si>
    <t xml:space="preserve">η = </t>
  </si>
  <si>
    <r>
      <t>η</t>
    </r>
    <r>
      <rPr>
        <vertAlign val="subscript"/>
        <sz val="10"/>
        <rFont val="Arial"/>
        <family val="2"/>
      </rPr>
      <t>is</t>
    </r>
    <r>
      <rPr>
        <sz val="10"/>
        <rFont val="Arial"/>
        <family val="2"/>
      </rPr>
      <t xml:space="preserve"> = 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</si>
  <si>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</si>
  <si>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</si>
  <si>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2,is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</si>
  <si>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</si>
  <si>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</si>
  <si>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boiler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</si>
  <si>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</si>
  <si>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 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</si>
  <si>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 </t>
    </r>
  </si>
  <si>
    <r>
      <t>h</t>
    </r>
    <r>
      <rPr>
        <vertAlign val="subscript"/>
        <sz val="10"/>
        <rFont val="Arial"/>
        <family val="2"/>
      </rPr>
      <t>4,is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</si>
  <si>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</si>
  <si>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Arial"/>
        <family val="2"/>
      </rPr>
      <t>turb</t>
    </r>
    <r>
      <rPr>
        <sz val="10"/>
        <rFont val="Arial"/>
        <family val="0"/>
      </rPr>
      <t xml:space="preserve"> = </t>
    </r>
  </si>
  <si>
    <r>
      <t>Approximation (calculation with v</t>
    </r>
    <r>
      <rPr>
        <sz val="10"/>
        <rFont val="Symbol"/>
        <family val="1"/>
      </rPr>
      <t>D</t>
    </r>
    <r>
      <rPr>
        <sz val="10"/>
        <rFont val="Arial"/>
        <family val="0"/>
      </rPr>
      <t>P)</t>
    </r>
  </si>
  <si>
    <t>Product_Name</t>
  </si>
  <si>
    <t>Scientific_Name</t>
  </si>
  <si>
    <t>Chemical_Formula</t>
  </si>
  <si>
    <t>FluidPop Name</t>
  </si>
  <si>
    <t>Tc [°C]</t>
  </si>
  <si>
    <t>Pc [bar]</t>
  </si>
  <si>
    <t>vc [m3/kg]</t>
  </si>
  <si>
    <t>MW [kg/mol]</t>
  </si>
  <si>
    <t>Tmin [°C]</t>
  </si>
  <si>
    <t>Tmax [°C]</t>
  </si>
  <si>
    <t>Water</t>
  </si>
  <si>
    <t>H2O</t>
  </si>
  <si>
    <t>q=0</t>
  </si>
  <si>
    <t>q=1</t>
  </si>
  <si>
    <t>T [°C]</t>
  </si>
  <si>
    <r>
      <t>D</t>
    </r>
    <r>
      <rPr>
        <b/>
        <sz val="10"/>
        <rFont val="Tahoma"/>
        <family val="0"/>
      </rPr>
      <t>T [°C]=</t>
    </r>
  </si>
  <si>
    <t>P [bar]=</t>
  </si>
  <si>
    <t>v[m3/kg]=</t>
  </si>
  <si>
    <t>Pmax [bar]=</t>
  </si>
  <si>
    <t>Pmin [bar]=</t>
  </si>
  <si>
    <t>h[kJ/kg]=</t>
  </si>
  <si>
    <t>P[bar]</t>
  </si>
  <si>
    <t>q=</t>
  </si>
  <si>
    <t>s [kJ/kg]</t>
  </si>
  <si>
    <t>State 6:</t>
  </si>
  <si>
    <t>extraction steam 0.7 MPa</t>
  </si>
  <si>
    <t>State 5:</t>
  </si>
  <si>
    <t>State 7:</t>
  </si>
  <si>
    <t>Feedwater pump 1:</t>
  </si>
  <si>
    <t>Feedwater pump 2:</t>
  </si>
  <si>
    <t>Pump 1 (state 1 &amp; 2)</t>
  </si>
  <si>
    <t>Pump 2 (state 3 &amp; 4)</t>
  </si>
  <si>
    <t>Boiler (state 5)</t>
  </si>
  <si>
    <r>
      <t>w</t>
    </r>
    <r>
      <rPr>
        <vertAlign val="subscript"/>
        <sz val="10"/>
        <rFont val="Arial"/>
        <family val="2"/>
      </rPr>
      <t>pump 1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</si>
  <si>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Arial"/>
        <family val="2"/>
      </rPr>
      <t>pump 2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</si>
  <si>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= </t>
    </r>
  </si>
  <si>
    <r>
      <t>P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  </t>
    </r>
  </si>
  <si>
    <r>
      <t>s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</si>
  <si>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6,is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</si>
  <si>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= </t>
    </r>
  </si>
  <si>
    <r>
      <t>s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</si>
  <si>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7,is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</si>
  <si>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</si>
  <si>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 xml:space="preserve"> = 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</si>
  <si>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=  </t>
    </r>
  </si>
  <si>
    <t>4 sat</t>
  </si>
  <si>
    <t>5 sat</t>
  </si>
  <si>
    <t>6sat</t>
  </si>
  <si>
    <r>
      <t>v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 </t>
    </r>
  </si>
  <si>
    <r>
      <t>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  </t>
    </r>
  </si>
  <si>
    <t>`</t>
  </si>
  <si>
    <r>
      <t>x</t>
    </r>
    <r>
      <rPr>
        <vertAlign val="subscript"/>
        <sz val="10"/>
        <rFont val="Arial"/>
        <family val="2"/>
      </rPr>
      <t>extracted</t>
    </r>
    <r>
      <rPr>
        <sz val="10"/>
        <rFont val="Arial"/>
        <family val="0"/>
      </rPr>
      <t xml:space="preserve"> = </t>
    </r>
  </si>
  <si>
    <t>Turbine extraction point (state 6)</t>
  </si>
  <si>
    <t>kg/kg</t>
  </si>
  <si>
    <t>Turbine  (state 7)</t>
  </si>
  <si>
    <t>Analysis of a Superheated Rankine Cycle with Regeneration</t>
  </si>
  <si>
    <r>
      <t>q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= </t>
    </r>
  </si>
</sst>
</file>

<file path=xl/styles.xml><?xml version="1.0" encoding="utf-8"?>
<styleSheet xmlns="http://schemas.openxmlformats.org/spreadsheetml/2006/main">
  <numFmts count="5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000"/>
    <numFmt numFmtId="179" formatCode="0.00000"/>
    <numFmt numFmtId="180" formatCode="0.000000"/>
    <numFmt numFmtId="181" formatCode="0.0000000"/>
    <numFmt numFmtId="182" formatCode="0.000"/>
    <numFmt numFmtId="183" formatCode="0.0"/>
    <numFmt numFmtId="184" formatCode="0.00000E+00"/>
    <numFmt numFmtId="185" formatCode="0.0000E+00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zł&quot;;\-#,##0\ &quot;zł&quot;"/>
    <numFmt numFmtId="195" formatCode="#,##0\ &quot;zł&quot;;[Red]\-#,##0\ &quot;zł&quot;"/>
    <numFmt numFmtId="196" formatCode="#,##0.00\ &quot;zł&quot;;\-#,##0.00\ &quot;zł&quot;"/>
    <numFmt numFmtId="197" formatCode="#,##0.00\ &quot;zł&quot;;[Red]\-#,##0.00\ &quot;zł&quot;"/>
    <numFmt numFmtId="198" formatCode="_-* #,##0\ &quot;zł&quot;_-;\-* #,##0\ &quot;zł&quot;_-;_-* &quot;-&quot;\ &quot;zł&quot;_-;_-@_-"/>
    <numFmt numFmtId="199" formatCode="_-* #,##0\ _z_ł_-;\-* #,##0\ _z_ł_-;_-* &quot;-&quot;\ _z_ł_-;_-@_-"/>
    <numFmt numFmtId="200" formatCode="_-* #,##0.00\ &quot;zł&quot;_-;\-* #,##0.00\ &quot;zł&quot;_-;_-* &quot;-&quot;??\ &quot;zł&quot;_-;_-@_-"/>
    <numFmt numFmtId="201" formatCode="_-* #,##0.00\ _z_ł_-;\-* #,##0.00\ _z_ł_-;_-* &quot;-&quot;??\ _z_ł_-;_-@_-"/>
    <numFmt numFmtId="202" formatCode="0.00000000"/>
    <numFmt numFmtId="203" formatCode="0.000000000"/>
    <numFmt numFmtId="204" formatCode="0.0000000000"/>
    <numFmt numFmtId="205" formatCode="0.000E+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vertAlign val="subscript"/>
      <sz val="8"/>
      <name val="Tahoma"/>
      <family val="2"/>
    </font>
    <font>
      <sz val="10"/>
      <name val="Symbol"/>
      <family val="1"/>
    </font>
    <font>
      <sz val="10"/>
      <name val="Tahoma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10"/>
      <name val="Symbol"/>
      <family val="1"/>
    </font>
    <font>
      <sz val="8.75"/>
      <name val="Arial"/>
      <family val="0"/>
    </font>
    <font>
      <b/>
      <sz val="8.75"/>
      <name val="Arial"/>
      <family val="0"/>
    </font>
    <font>
      <b/>
      <sz val="10.5"/>
      <name val="Arial"/>
      <family val="0"/>
    </font>
    <font>
      <sz val="8.75"/>
      <name val="Tahoma"/>
      <family val="0"/>
    </font>
    <font>
      <vertAlign val="subscript"/>
      <sz val="8.75"/>
      <name val="Tahoma"/>
      <family val="2"/>
    </font>
    <font>
      <b/>
      <sz val="11.2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7" fillId="0" borderId="0">
      <alignment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0" fontId="26" fillId="0" borderId="0" xfId="56">
      <alignment/>
      <protection/>
    </xf>
    <xf numFmtId="0" fontId="28" fillId="20" borderId="10" xfId="48" applyFont="1" applyFill="1" applyBorder="1">
      <alignment/>
      <protection/>
    </xf>
    <xf numFmtId="0" fontId="28" fillId="20" borderId="10" xfId="48" applyFont="1" applyFill="1" applyBorder="1" applyAlignment="1">
      <alignment vertical="center" wrapText="1"/>
      <protection/>
    </xf>
    <xf numFmtId="0" fontId="26" fillId="0" borderId="11" xfId="56" applyBorder="1">
      <alignment/>
      <protection/>
    </xf>
    <xf numFmtId="0" fontId="26" fillId="0" borderId="12" xfId="56" applyBorder="1">
      <alignment/>
      <protection/>
    </xf>
    <xf numFmtId="0" fontId="29" fillId="0" borderId="0" xfId="56" applyFont="1">
      <alignment/>
      <protection/>
    </xf>
    <xf numFmtId="0" fontId="30" fillId="0" borderId="0" xfId="56" applyFont="1" applyAlignment="1">
      <alignment horizontal="right"/>
      <protection/>
    </xf>
    <xf numFmtId="0" fontId="29" fillId="0" borderId="0" xfId="56" applyFont="1" applyAlignment="1">
      <alignment horizontal="right"/>
      <protection/>
    </xf>
    <xf numFmtId="0" fontId="29" fillId="0" borderId="0" xfId="56" applyFont="1" applyAlignment="1">
      <alignment horizontal="left"/>
      <protection/>
    </xf>
    <xf numFmtId="0" fontId="26" fillId="0" borderId="0" xfId="56" applyFont="1">
      <alignment/>
      <protection/>
    </xf>
    <xf numFmtId="0" fontId="29" fillId="0" borderId="0" xfId="56" applyFont="1">
      <alignment/>
      <protection/>
    </xf>
    <xf numFmtId="0" fontId="26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6" fillId="0" borderId="0" xfId="56" applyAlignment="1">
      <alignment horizontal="center"/>
      <protection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F97, Water, T-s diagra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T-s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P = 1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chart'!$G$8:$G$108</c:f>
              <c:numCache>
                <c:ptCount val="101"/>
                <c:pt idx="0">
                  <c:v>6.668400351603103E-06</c:v>
                </c:pt>
                <c:pt idx="1">
                  <c:v>0.15062580472073323</c:v>
                </c:pt>
                <c:pt idx="2">
                  <c:v>0.2954718706000359</c:v>
                </c:pt>
                <c:pt idx="3">
                  <c:v>0.43522989573225934</c:v>
                </c:pt>
                <c:pt idx="4">
                  <c:v>0.5703698531868581</c:v>
                </c:pt>
                <c:pt idx="5">
                  <c:v>0.7012687852698729</c:v>
                </c:pt>
                <c:pt idx="6">
                  <c:v>0.8282542288100062</c:v>
                </c:pt>
                <c:pt idx="7">
                  <c:v>0.9516201030482361</c:v>
                </c:pt>
                <c:pt idx="8">
                  <c:v>1.0716334773599414</c:v>
                </c:pt>
                <c:pt idx="9">
                  <c:v>1.1885385940817872</c:v>
                </c:pt>
                <c:pt idx="10">
                  <c:v>1.3025601737745955</c:v>
                </c:pt>
                <c:pt idx="11">
                  <c:v>1.9081848205040721</c:v>
                </c:pt>
                <c:pt idx="12">
                  <c:v>2.513809467233549</c:v>
                </c:pt>
                <c:pt idx="13">
                  <c:v>3.119434113963025</c:v>
                </c:pt>
                <c:pt idx="14">
                  <c:v>3.7250587606925016</c:v>
                </c:pt>
                <c:pt idx="15">
                  <c:v>4.330683407421978</c:v>
                </c:pt>
                <c:pt idx="16">
                  <c:v>4.936308054151454</c:v>
                </c:pt>
                <c:pt idx="17">
                  <c:v>5.541932700880931</c:v>
                </c:pt>
                <c:pt idx="18">
                  <c:v>6.147557347610408</c:v>
                </c:pt>
                <c:pt idx="19">
                  <c:v>6.753181994339884</c:v>
                </c:pt>
                <c:pt idx="20">
                  <c:v>7.358806641069361</c:v>
                </c:pt>
                <c:pt idx="21">
                  <c:v>7.406603247859613</c:v>
                </c:pt>
                <c:pt idx="22">
                  <c:v>7.45274274438989</c:v>
                </c:pt>
                <c:pt idx="23">
                  <c:v>7.497476934329829</c:v>
                </c:pt>
                <c:pt idx="24">
                  <c:v>7.540965982267251</c:v>
                </c:pt>
                <c:pt idx="25">
                  <c:v>7.583329875562024</c:v>
                </c:pt>
                <c:pt idx="26">
                  <c:v>7.624665791595271</c:v>
                </c:pt>
                <c:pt idx="27">
                  <c:v>7.665055255783626</c:v>
                </c:pt>
                <c:pt idx="28">
                  <c:v>7.704567912974004</c:v>
                </c:pt>
                <c:pt idx="29">
                  <c:v>7.743263958859424</c:v>
                </c:pt>
                <c:pt idx="30">
                  <c:v>7.781195903426462</c:v>
                </c:pt>
                <c:pt idx="31">
                  <c:v>7.818409924729707</c:v>
                </c:pt>
                <c:pt idx="32">
                  <c:v>7.854946936250654</c:v>
                </c:pt>
                <c:pt idx="33">
                  <c:v>7.890843440282463</c:v>
                </c:pt>
                <c:pt idx="34">
                  <c:v>7.926132216371123</c:v>
                </c:pt>
                <c:pt idx="35">
                  <c:v>7.96084288058589</c:v>
                </c:pt>
                <c:pt idx="36">
                  <c:v>7.995002342679746</c:v>
                </c:pt>
                <c:pt idx="37">
                  <c:v>8.028635181980599</c:v>
                </c:pt>
                <c:pt idx="38">
                  <c:v>8.061763958227575</c:v>
                </c:pt>
                <c:pt idx="39">
                  <c:v>8.09440947005546</c:v>
                </c:pt>
                <c:pt idx="40">
                  <c:v>8.126590971135434</c:v>
                </c:pt>
                <c:pt idx="41">
                  <c:v>8.158326351896699</c:v>
                </c:pt>
                <c:pt idx="42">
                  <c:v>8.189632293134002</c:v>
                </c:pt>
                <c:pt idx="43">
                  <c:v>8.220524396540293</c:v>
                </c:pt>
                <c:pt idx="44">
                  <c:v>8.251017296210645</c:v>
                </c:pt>
                <c:pt idx="45">
                  <c:v>8.281124754380278</c:v>
                </c:pt>
                <c:pt idx="46">
                  <c:v>8.310859744039808</c:v>
                </c:pt>
                <c:pt idx="47">
                  <c:v>8.340234520577736</c:v>
                </c:pt>
                <c:pt idx="48">
                  <c:v>8.369260684206868</c:v>
                </c:pt>
                <c:pt idx="49">
                  <c:v>8.397949234615869</c:v>
                </c:pt>
                <c:pt idx="50">
                  <c:v>8.426310619033433</c:v>
                </c:pt>
                <c:pt idx="51">
                  <c:v>8.454354774687344</c:v>
                </c:pt>
                <c:pt idx="52">
                  <c:v>8.482091166474538</c:v>
                </c:pt>
                <c:pt idx="53">
                  <c:v>8.509528820522709</c:v>
                </c:pt>
                <c:pt idx="54">
                  <c:v>8.53667635421342</c:v>
                </c:pt>
                <c:pt idx="55">
                  <c:v>8.563542003145754</c:v>
                </c:pt>
                <c:pt idx="56">
                  <c:v>8.590133645444842</c:v>
                </c:pt>
                <c:pt idx="57">
                  <c:v>8.616458823757807</c:v>
                </c:pt>
                <c:pt idx="58">
                  <c:v>8.642524765228252</c:v>
                </c:pt>
                <c:pt idx="59">
                  <c:v>8.668338399697937</c:v>
                </c:pt>
                <c:pt idx="60">
                  <c:v>8.693906376348426</c:v>
                </c:pt>
                <c:pt idx="61">
                  <c:v>8.719235078965722</c:v>
                </c:pt>
                <c:pt idx="62">
                  <c:v>8.744330639985671</c:v>
                </c:pt>
                <c:pt idx="63">
                  <c:v>8.769198953456659</c:v>
                </c:pt>
                <c:pt idx="64">
                  <c:v>8.79384568703824</c:v>
                </c:pt>
                <c:pt idx="65">
                  <c:v>8.818276293138892</c:v>
                </c:pt>
                <c:pt idx="66">
                  <c:v>8.842496019283113</c:v>
                </c:pt>
                <c:pt idx="67">
                  <c:v>8.866509917786999</c:v>
                </c:pt>
                <c:pt idx="68">
                  <c:v>8.890322854811687</c:v>
                </c:pt>
                <c:pt idx="69">
                  <c:v>8.913939518855978</c:v>
                </c:pt>
                <c:pt idx="70">
                  <c:v>8.937364428742205</c:v>
                </c:pt>
                <c:pt idx="71">
                  <c:v>8.960601941143373</c:v>
                </c:pt>
                <c:pt idx="72">
                  <c:v>8.983656257694063</c:v>
                </c:pt>
                <c:pt idx="73">
                  <c:v>9.006531431723149</c:v>
                </c:pt>
                <c:pt idx="74">
                  <c:v>9.029231374642109</c:v>
                </c:pt>
                <c:pt idx="75">
                  <c:v>9.051759862019285</c:v>
                </c:pt>
                <c:pt idx="76">
                  <c:v>9.074120539367174</c:v>
                </c:pt>
                <c:pt idx="77">
                  <c:v>9.096316927667234</c:v>
                </c:pt>
                <c:pt idx="78">
                  <c:v>9.118352428654141</c:v>
                </c:pt>
                <c:pt idx="79">
                  <c:v>9.140230329879287</c:v>
                </c:pt>
                <c:pt idx="80">
                  <c:v>9.161953809571484</c:v>
                </c:pt>
                <c:pt idx="81">
                  <c:v>9.183525941311014</c:v>
                </c:pt>
                <c:pt idx="82">
                  <c:v>9.204949698531813</c:v>
                </c:pt>
                <c:pt idx="83">
                  <c:v>9.226227958865053</c:v>
                </c:pt>
                <c:pt idx="84">
                  <c:v>9.24736350833634</c:v>
                </c:pt>
                <c:pt idx="85">
                  <c:v>9.268359045427555</c:v>
                </c:pt>
                <c:pt idx="86">
                  <c:v>9.289217185013463</c:v>
                </c:pt>
                <c:pt idx="87">
                  <c:v>9.309940462182299</c:v>
                </c:pt>
                <c:pt idx="88">
                  <c:v>9.330531335948777</c:v>
                </c:pt>
                <c:pt idx="89">
                  <c:v>9.350992192867283</c:v>
                </c:pt>
                <c:pt idx="90">
                  <c:v>9.37132535055229</c:v>
                </c:pt>
                <c:pt idx="91">
                  <c:v>9.391533061112591</c:v>
                </c:pt>
                <c:pt idx="92">
                  <c:v>9.411617514505233</c:v>
                </c:pt>
                <c:pt idx="93">
                  <c:v>9.431580841814798</c:v>
                </c:pt>
                <c:pt idx="94">
                  <c:v>9.451425118462957</c:v>
                </c:pt>
                <c:pt idx="95">
                  <c:v>9.47115236735314</c:v>
                </c:pt>
                <c:pt idx="96">
                  <c:v>9.490764561954494</c:v>
                </c:pt>
                <c:pt idx="97">
                  <c:v>9.510263629329263</c:v>
                </c:pt>
                <c:pt idx="98">
                  <c:v>9.529651453107173</c:v>
                </c:pt>
                <c:pt idx="99">
                  <c:v>9.548929876410327</c:v>
                </c:pt>
                <c:pt idx="100">
                  <c:v>9.568100704731721</c:v>
                </c:pt>
              </c:numCache>
            </c:numRef>
          </c:xVal>
          <c:yVal>
            <c:numRef>
              <c:f>'data T-s chart'!$H$8:$H$108</c:f>
              <c:numCache>
                <c:ptCount val="101"/>
                <c:pt idx="0">
                  <c:v>0.01000001</c:v>
                </c:pt>
                <c:pt idx="1">
                  <c:v>9.969591870133765</c:v>
                </c:pt>
                <c:pt idx="2">
                  <c:v>19.929183730267532</c:v>
                </c:pt>
                <c:pt idx="3">
                  <c:v>29.888775590401295</c:v>
                </c:pt>
                <c:pt idx="4">
                  <c:v>39.84836745053506</c:v>
                </c:pt>
                <c:pt idx="5">
                  <c:v>49.80795931066882</c:v>
                </c:pt>
                <c:pt idx="6">
                  <c:v>59.767551170802584</c:v>
                </c:pt>
                <c:pt idx="7">
                  <c:v>69.72714303093635</c:v>
                </c:pt>
                <c:pt idx="8">
                  <c:v>79.68673489107012</c:v>
                </c:pt>
                <c:pt idx="9">
                  <c:v>89.64632675120389</c:v>
                </c:pt>
                <c:pt idx="10">
                  <c:v>99.60591861133764</c:v>
                </c:pt>
                <c:pt idx="11">
                  <c:v>99.60591861133764</c:v>
                </c:pt>
                <c:pt idx="12">
                  <c:v>99.60591861133764</c:v>
                </c:pt>
                <c:pt idx="13">
                  <c:v>99.60591861133764</c:v>
                </c:pt>
                <c:pt idx="14">
                  <c:v>99.60591861133764</c:v>
                </c:pt>
                <c:pt idx="15">
                  <c:v>99.60591861133764</c:v>
                </c:pt>
                <c:pt idx="16">
                  <c:v>99.60591861133764</c:v>
                </c:pt>
                <c:pt idx="17">
                  <c:v>99.60591861133764</c:v>
                </c:pt>
                <c:pt idx="18">
                  <c:v>99.60591861133764</c:v>
                </c:pt>
                <c:pt idx="19">
                  <c:v>99.60591861133764</c:v>
                </c:pt>
                <c:pt idx="20">
                  <c:v>99.60591861133764</c:v>
                </c:pt>
                <c:pt idx="21">
                  <c:v>108.36084462869593</c:v>
                </c:pt>
                <c:pt idx="22">
                  <c:v>117.11577064605422</c:v>
                </c:pt>
                <c:pt idx="23">
                  <c:v>125.8706966634125</c:v>
                </c:pt>
                <c:pt idx="24">
                  <c:v>134.6256226807708</c:v>
                </c:pt>
                <c:pt idx="25">
                  <c:v>143.38054869812908</c:v>
                </c:pt>
                <c:pt idx="26">
                  <c:v>152.13547471548736</c:v>
                </c:pt>
                <c:pt idx="27">
                  <c:v>160.89040073284565</c:v>
                </c:pt>
                <c:pt idx="28">
                  <c:v>169.64532675020394</c:v>
                </c:pt>
                <c:pt idx="29">
                  <c:v>178.40025276756222</c:v>
                </c:pt>
                <c:pt idx="30">
                  <c:v>187.1551787849205</c:v>
                </c:pt>
                <c:pt idx="31">
                  <c:v>195.9101048022788</c:v>
                </c:pt>
                <c:pt idx="32">
                  <c:v>204.66503081963708</c:v>
                </c:pt>
                <c:pt idx="33">
                  <c:v>213.41995683699537</c:v>
                </c:pt>
                <c:pt idx="34">
                  <c:v>222.17488285435365</c:v>
                </c:pt>
                <c:pt idx="35">
                  <c:v>230.92980887171194</c:v>
                </c:pt>
                <c:pt idx="36">
                  <c:v>239.68473488907023</c:v>
                </c:pt>
                <c:pt idx="37">
                  <c:v>248.43966090642851</c:v>
                </c:pt>
                <c:pt idx="38">
                  <c:v>257.1945869237868</c:v>
                </c:pt>
                <c:pt idx="39">
                  <c:v>265.9495129411451</c:v>
                </c:pt>
                <c:pt idx="40">
                  <c:v>274.7044389585034</c:v>
                </c:pt>
                <c:pt idx="41">
                  <c:v>283.45936497586166</c:v>
                </c:pt>
                <c:pt idx="42">
                  <c:v>292.21429099321995</c:v>
                </c:pt>
                <c:pt idx="43">
                  <c:v>300.96921701057823</c:v>
                </c:pt>
                <c:pt idx="44">
                  <c:v>309.7241430279365</c:v>
                </c:pt>
                <c:pt idx="45">
                  <c:v>318.4790690452948</c:v>
                </c:pt>
                <c:pt idx="46">
                  <c:v>327.2339950626531</c:v>
                </c:pt>
                <c:pt idx="47">
                  <c:v>335.9889210800114</c:v>
                </c:pt>
                <c:pt idx="48">
                  <c:v>344.74384709736967</c:v>
                </c:pt>
                <c:pt idx="49">
                  <c:v>353.49877311472795</c:v>
                </c:pt>
                <c:pt idx="50">
                  <c:v>362.25369913208624</c:v>
                </c:pt>
                <c:pt idx="51">
                  <c:v>371.0086251494445</c:v>
                </c:pt>
                <c:pt idx="52">
                  <c:v>379.7635511668028</c:v>
                </c:pt>
                <c:pt idx="53">
                  <c:v>388.5184771841611</c:v>
                </c:pt>
                <c:pt idx="54">
                  <c:v>397.2734032015194</c:v>
                </c:pt>
                <c:pt idx="55">
                  <c:v>406.0283292188777</c:v>
                </c:pt>
                <c:pt idx="56">
                  <c:v>414.78325523623596</c:v>
                </c:pt>
                <c:pt idx="57">
                  <c:v>423.53818125359425</c:v>
                </c:pt>
                <c:pt idx="58">
                  <c:v>432.29310727095253</c:v>
                </c:pt>
                <c:pt idx="59">
                  <c:v>441.0480332883108</c:v>
                </c:pt>
                <c:pt idx="60">
                  <c:v>449.8029593056691</c:v>
                </c:pt>
                <c:pt idx="61">
                  <c:v>458.5578853230274</c:v>
                </c:pt>
                <c:pt idx="62">
                  <c:v>467.3128113403857</c:v>
                </c:pt>
                <c:pt idx="63">
                  <c:v>476.06773735774397</c:v>
                </c:pt>
                <c:pt idx="64">
                  <c:v>484.82266337510225</c:v>
                </c:pt>
                <c:pt idx="65">
                  <c:v>493.57758939246054</c:v>
                </c:pt>
                <c:pt idx="66">
                  <c:v>502.3325154098188</c:v>
                </c:pt>
                <c:pt idx="67">
                  <c:v>511.0874414271771</c:v>
                </c:pt>
                <c:pt idx="68">
                  <c:v>519.8423674445354</c:v>
                </c:pt>
                <c:pt idx="69">
                  <c:v>528.5972934618936</c:v>
                </c:pt>
                <c:pt idx="70">
                  <c:v>537.3522194792519</c:v>
                </c:pt>
                <c:pt idx="71">
                  <c:v>546.1071454966101</c:v>
                </c:pt>
                <c:pt idx="72">
                  <c:v>554.8620715139683</c:v>
                </c:pt>
                <c:pt idx="73">
                  <c:v>563.6169975313265</c:v>
                </c:pt>
                <c:pt idx="74">
                  <c:v>572.3719235486848</c:v>
                </c:pt>
                <c:pt idx="75">
                  <c:v>581.126849566043</c:v>
                </c:pt>
                <c:pt idx="76">
                  <c:v>589.8817755834012</c:v>
                </c:pt>
                <c:pt idx="77">
                  <c:v>598.6367016007595</c:v>
                </c:pt>
                <c:pt idx="78">
                  <c:v>607.3916276181177</c:v>
                </c:pt>
                <c:pt idx="79">
                  <c:v>616.1465536354759</c:v>
                </c:pt>
                <c:pt idx="80">
                  <c:v>624.9014796528342</c:v>
                </c:pt>
                <c:pt idx="81">
                  <c:v>633.6564056701924</c:v>
                </c:pt>
                <c:pt idx="82">
                  <c:v>642.4113316875506</c:v>
                </c:pt>
                <c:pt idx="83">
                  <c:v>651.1662577049088</c:v>
                </c:pt>
                <c:pt idx="84">
                  <c:v>659.9211837222671</c:v>
                </c:pt>
                <c:pt idx="85">
                  <c:v>668.6761097396253</c:v>
                </c:pt>
                <c:pt idx="86">
                  <c:v>677.4310357569835</c:v>
                </c:pt>
                <c:pt idx="87">
                  <c:v>686.1859617743418</c:v>
                </c:pt>
                <c:pt idx="88">
                  <c:v>694.9408877917</c:v>
                </c:pt>
                <c:pt idx="89">
                  <c:v>703.6958138090582</c:v>
                </c:pt>
                <c:pt idx="90">
                  <c:v>712.4507398264165</c:v>
                </c:pt>
                <c:pt idx="91">
                  <c:v>721.2056658437747</c:v>
                </c:pt>
                <c:pt idx="92">
                  <c:v>729.9605918611329</c:v>
                </c:pt>
                <c:pt idx="93">
                  <c:v>738.7155178784911</c:v>
                </c:pt>
                <c:pt idx="94">
                  <c:v>747.4704438958494</c:v>
                </c:pt>
                <c:pt idx="95">
                  <c:v>756.2253699132076</c:v>
                </c:pt>
                <c:pt idx="96">
                  <c:v>764.9802959305658</c:v>
                </c:pt>
                <c:pt idx="97">
                  <c:v>773.7352219479241</c:v>
                </c:pt>
                <c:pt idx="98">
                  <c:v>782.4901479652823</c:v>
                </c:pt>
                <c:pt idx="99">
                  <c:v>791.2450739826405</c:v>
                </c:pt>
                <c:pt idx="100">
                  <c:v>800</c:v>
                </c:pt>
              </c:numCache>
            </c:numRef>
          </c:yVal>
          <c:smooth val="1"/>
        </c:ser>
        <c:ser>
          <c:idx val="3"/>
          <c:order val="1"/>
          <c:tx>
            <c:v>P = 50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chart'!$I$8:$I$108</c:f>
              <c:numCache>
                <c:ptCount val="101"/>
                <c:pt idx="0">
                  <c:v>0.0002918939779817363</c:v>
                </c:pt>
                <c:pt idx="1">
                  <c:v>0.3855267588786486</c:v>
                </c:pt>
                <c:pt idx="2">
                  <c:v>0.7374106784491585</c:v>
                </c:pt>
                <c:pt idx="3">
                  <c:v>1.062528318946807</c:v>
                </c:pt>
                <c:pt idx="4">
                  <c:v>1.365711749906318</c:v>
                </c:pt>
                <c:pt idx="5">
                  <c:v>1.650858156639922</c:v>
                </c:pt>
                <c:pt idx="6">
                  <c:v>1.9212878874304136</c:v>
                </c:pt>
                <c:pt idx="7">
                  <c:v>2.180067441376705</c:v>
                </c:pt>
                <c:pt idx="8">
                  <c:v>2.4303184173007395</c:v>
                </c:pt>
                <c:pt idx="9">
                  <c:v>2.675613377576774</c:v>
                </c:pt>
                <c:pt idx="10">
                  <c:v>2.9207459641753446</c:v>
                </c:pt>
                <c:pt idx="11">
                  <c:v>3.226041773150085</c:v>
                </c:pt>
                <c:pt idx="12">
                  <c:v>3.5313375821248245</c:v>
                </c:pt>
                <c:pt idx="13">
                  <c:v>3.8366333910995642</c:v>
                </c:pt>
                <c:pt idx="14">
                  <c:v>4.141929200074305</c:v>
                </c:pt>
                <c:pt idx="15">
                  <c:v>4.447225009049045</c:v>
                </c:pt>
                <c:pt idx="16">
                  <c:v>4.752520818023784</c:v>
                </c:pt>
                <c:pt idx="17">
                  <c:v>5.057816626998524</c:v>
                </c:pt>
                <c:pt idx="18">
                  <c:v>5.363112435973264</c:v>
                </c:pt>
                <c:pt idx="19">
                  <c:v>5.668408244948004</c:v>
                </c:pt>
                <c:pt idx="20">
                  <c:v>5.973704053922744</c:v>
                </c:pt>
                <c:pt idx="21">
                  <c:v>6.025900982707936</c:v>
                </c:pt>
                <c:pt idx="22">
                  <c:v>6.073190398210007</c:v>
                </c:pt>
                <c:pt idx="23">
                  <c:v>6.116933327829385</c:v>
                </c:pt>
                <c:pt idx="24">
                  <c:v>6.157924890708344</c:v>
                </c:pt>
                <c:pt idx="25">
                  <c:v>6.196680612255164</c:v>
                </c:pt>
                <c:pt idx="26">
                  <c:v>6.23356147310094</c:v>
                </c:pt>
                <c:pt idx="27">
                  <c:v>6.268835378365584</c:v>
                </c:pt>
                <c:pt idx="28">
                  <c:v>6.302710052898651</c:v>
                </c:pt>
                <c:pt idx="29">
                  <c:v>6.335351886148467</c:v>
                </c:pt>
                <c:pt idx="30">
                  <c:v>6.366897406617698</c:v>
                </c:pt>
                <c:pt idx="31">
                  <c:v>6.397460673617685</c:v>
                </c:pt>
                <c:pt idx="32">
                  <c:v>6.427138287674681</c:v>
                </c:pt>
                <c:pt idx="33">
                  <c:v>6.4560129403417</c:v>
                </c:pt>
                <c:pt idx="34">
                  <c:v>6.484156024400841</c:v>
                </c:pt>
                <c:pt idx="35">
                  <c:v>6.511629612748524</c:v>
                </c:pt>
                <c:pt idx="36">
                  <c:v>6.538487996534826</c:v>
                </c:pt>
                <c:pt idx="37">
                  <c:v>6.564778905266956</c:v>
                </c:pt>
                <c:pt idx="38">
                  <c:v>6.590544490862525</c:v>
                </c:pt>
                <c:pt idx="39">
                  <c:v>6.615822132251621</c:v>
                </c:pt>
                <c:pt idx="40">
                  <c:v>6.6406451007408975</c:v>
                </c:pt>
                <c:pt idx="41">
                  <c:v>6.665043115442517</c:v>
                </c:pt>
                <c:pt idx="42">
                  <c:v>6.689042810602119</c:v>
                </c:pt>
                <c:pt idx="43">
                  <c:v>6.712668131419745</c:v>
                </c:pt>
                <c:pt idx="44">
                  <c:v>6.735940671198114</c:v>
                </c:pt>
                <c:pt idx="45">
                  <c:v>6.758879959900702</c:v>
                </c:pt>
                <c:pt idx="46">
                  <c:v>6.781503712149823</c:v>
                </c:pt>
                <c:pt idx="47">
                  <c:v>6.8038280411385506</c:v>
                </c:pt>
                <c:pt idx="48">
                  <c:v>6.825867643731072</c:v>
                </c:pt>
                <c:pt idx="49">
                  <c:v>6.847635961089214</c:v>
                </c:pt>
                <c:pt idx="50">
                  <c:v>6.869145318420954</c:v>
                </c:pt>
                <c:pt idx="51">
                  <c:v>6.8904070468526335</c:v>
                </c:pt>
                <c:pt idx="52">
                  <c:v>6.911431589945677</c:v>
                </c:pt>
                <c:pt idx="53">
                  <c:v>6.93222859698574</c:v>
                </c:pt>
                <c:pt idx="54">
                  <c:v>6.952807004848629</c:v>
                </c:pt>
                <c:pt idx="55">
                  <c:v>6.9731751099788815</c:v>
                </c:pt>
                <c:pt idx="56">
                  <c:v>6.993340631792821</c:v>
                </c:pt>
                <c:pt idx="57">
                  <c:v>7.013310768629779</c:v>
                </c:pt>
                <c:pt idx="58">
                  <c:v>7.033092247216631</c:v>
                </c:pt>
                <c:pt idx="59">
                  <c:v>7.0526913664764095</c:v>
                </c:pt>
                <c:pt idx="60">
                  <c:v>7.072114036397657</c:v>
                </c:pt>
                <c:pt idx="61">
                  <c:v>7.091365812583949</c:v>
                </c:pt>
                <c:pt idx="62">
                  <c:v>7.110451927019742</c:v>
                </c:pt>
                <c:pt idx="63">
                  <c:v>7.129377315517548</c:v>
                </c:pt>
                <c:pt idx="64">
                  <c:v>7.148146642250194</c:v>
                </c:pt>
                <c:pt idx="65">
                  <c:v>7.166764321719332</c:v>
                </c:pt>
                <c:pt idx="66">
                  <c:v>7.185234538465915</c:v>
                </c:pt>
                <c:pt idx="67">
                  <c:v>7.203561264789314</c:v>
                </c:pt>
                <c:pt idx="68">
                  <c:v>7.22174827670775</c:v>
                </c:pt>
                <c:pt idx="69">
                  <c:v>7.2397991683635325</c:v>
                </c:pt>
                <c:pt idx="70">
                  <c:v>7.257717365051095</c:v>
                </c:pt>
                <c:pt idx="71">
                  <c:v>7.275506135023827</c:v>
                </c:pt>
                <c:pt idx="72">
                  <c:v>7.293168600216517</c:v>
                </c:pt>
                <c:pt idx="73">
                  <c:v>7.310707746003513</c:v>
                </c:pt>
                <c:pt idx="74">
                  <c:v>7.328126430098301</c:v>
                </c:pt>
                <c:pt idx="75">
                  <c:v>7.345427390687404</c:v>
                </c:pt>
                <c:pt idx="76">
                  <c:v>7.362613253880571</c:v>
                </c:pt>
                <c:pt idx="77">
                  <c:v>7.379686540549534</c:v>
                </c:pt>
                <c:pt idx="78">
                  <c:v>7.396649672619161</c:v>
                </c:pt>
                <c:pt idx="79">
                  <c:v>7.413504978867449</c:v>
                </c:pt>
                <c:pt idx="80">
                  <c:v>7.43025470028439</c:v>
                </c:pt>
                <c:pt idx="81">
                  <c:v>7.446900995033933</c:v>
                </c:pt>
                <c:pt idx="82">
                  <c:v>7.463445943058415</c:v>
                </c:pt>
                <c:pt idx="83">
                  <c:v>7.4798915503604</c:v>
                </c:pt>
                <c:pt idx="84">
                  <c:v>7.496239752992945</c:v>
                </c:pt>
                <c:pt idx="85">
                  <c:v>7.512492420786032</c:v>
                </c:pt>
                <c:pt idx="86">
                  <c:v>7.528651360833823</c:v>
                </c:pt>
                <c:pt idx="87">
                  <c:v>7.544718320764807</c:v>
                </c:pt>
                <c:pt idx="88">
                  <c:v>7.560694991814525</c:v>
                </c:pt>
                <c:pt idx="89">
                  <c:v>7.576583011718516</c:v>
                </c:pt>
                <c:pt idx="90">
                  <c:v>7.592383967441356</c:v>
                </c:pt>
                <c:pt idx="91">
                  <c:v>7.608099397755909</c:v>
                </c:pt>
                <c:pt idx="92">
                  <c:v>7.623730795685624</c:v>
                </c:pt>
                <c:pt idx="93">
                  <c:v>7.639279610821331</c:v>
                </c:pt>
                <c:pt idx="94">
                  <c:v>7.654747251522883</c:v>
                </c:pt>
                <c:pt idx="95">
                  <c:v>7.670135087015029</c:v>
                </c:pt>
                <c:pt idx="96">
                  <c:v>7.685444449385897</c:v>
                </c:pt>
                <c:pt idx="97">
                  <c:v>7.700676635495786</c:v>
                </c:pt>
                <c:pt idx="98">
                  <c:v>7.715832908803182</c:v>
                </c:pt>
                <c:pt idx="99">
                  <c:v>7.730914501114235</c:v>
                </c:pt>
                <c:pt idx="100">
                  <c:v>7.745922614261475</c:v>
                </c:pt>
              </c:numCache>
            </c:numRef>
          </c:xVal>
          <c:yVal>
            <c:numRef>
              <c:f>'data T-s chart'!$J$8:$J$108</c:f>
              <c:numCache>
                <c:ptCount val="101"/>
                <c:pt idx="0">
                  <c:v>0.01000001</c:v>
                </c:pt>
                <c:pt idx="1">
                  <c:v>26.403287127633018</c:v>
                </c:pt>
                <c:pt idx="2">
                  <c:v>52.79657424526604</c:v>
                </c:pt>
                <c:pt idx="3">
                  <c:v>79.18986136289905</c:v>
                </c:pt>
                <c:pt idx="4">
                  <c:v>105.58314848053207</c:v>
                </c:pt>
                <c:pt idx="5">
                  <c:v>131.9764355981651</c:v>
                </c:pt>
                <c:pt idx="6">
                  <c:v>158.3697227157981</c:v>
                </c:pt>
                <c:pt idx="7">
                  <c:v>184.7630098334311</c:v>
                </c:pt>
                <c:pt idx="8">
                  <c:v>211.15629695106412</c:v>
                </c:pt>
                <c:pt idx="9">
                  <c:v>237.54958406869713</c:v>
                </c:pt>
                <c:pt idx="10">
                  <c:v>263.9428711863302</c:v>
                </c:pt>
                <c:pt idx="11">
                  <c:v>263.9428711863302</c:v>
                </c:pt>
                <c:pt idx="12">
                  <c:v>263.9428711863302</c:v>
                </c:pt>
                <c:pt idx="13">
                  <c:v>263.9428711863302</c:v>
                </c:pt>
                <c:pt idx="14">
                  <c:v>263.9428711863302</c:v>
                </c:pt>
                <c:pt idx="15">
                  <c:v>263.9428711863302</c:v>
                </c:pt>
                <c:pt idx="16">
                  <c:v>263.9428711863302</c:v>
                </c:pt>
                <c:pt idx="17">
                  <c:v>263.9428711863302</c:v>
                </c:pt>
                <c:pt idx="18">
                  <c:v>263.9428711863302</c:v>
                </c:pt>
                <c:pt idx="19">
                  <c:v>263.9428711863302</c:v>
                </c:pt>
                <c:pt idx="20">
                  <c:v>263.9428711863302</c:v>
                </c:pt>
                <c:pt idx="21">
                  <c:v>270.64358529650104</c:v>
                </c:pt>
                <c:pt idx="22">
                  <c:v>277.3442994066719</c:v>
                </c:pt>
                <c:pt idx="23">
                  <c:v>284.04501351684274</c:v>
                </c:pt>
                <c:pt idx="24">
                  <c:v>290.7457276270136</c:v>
                </c:pt>
                <c:pt idx="25">
                  <c:v>297.44644173718444</c:v>
                </c:pt>
                <c:pt idx="26">
                  <c:v>304.1471558473553</c:v>
                </c:pt>
                <c:pt idx="27">
                  <c:v>310.84786995752614</c:v>
                </c:pt>
                <c:pt idx="28">
                  <c:v>317.548584067697</c:v>
                </c:pt>
                <c:pt idx="29">
                  <c:v>324.24929817786784</c:v>
                </c:pt>
                <c:pt idx="30">
                  <c:v>330.9500122880387</c:v>
                </c:pt>
                <c:pt idx="31">
                  <c:v>337.65072639820954</c:v>
                </c:pt>
                <c:pt idx="32">
                  <c:v>344.3514405083804</c:v>
                </c:pt>
                <c:pt idx="33">
                  <c:v>351.05215461855124</c:v>
                </c:pt>
                <c:pt idx="34">
                  <c:v>357.7528687287221</c:v>
                </c:pt>
                <c:pt idx="35">
                  <c:v>364.45358283889294</c:v>
                </c:pt>
                <c:pt idx="36">
                  <c:v>371.1542969490638</c:v>
                </c:pt>
                <c:pt idx="37">
                  <c:v>377.85501105923464</c:v>
                </c:pt>
                <c:pt idx="38">
                  <c:v>384.5557251694055</c:v>
                </c:pt>
                <c:pt idx="39">
                  <c:v>391.25643927957634</c:v>
                </c:pt>
                <c:pt idx="40">
                  <c:v>397.9571533897472</c:v>
                </c:pt>
                <c:pt idx="41">
                  <c:v>404.65786749991804</c:v>
                </c:pt>
                <c:pt idx="42">
                  <c:v>411.3585816100889</c:v>
                </c:pt>
                <c:pt idx="43">
                  <c:v>418.05929572025974</c:v>
                </c:pt>
                <c:pt idx="44">
                  <c:v>424.7600098304306</c:v>
                </c:pt>
                <c:pt idx="45">
                  <c:v>431.46072394060144</c:v>
                </c:pt>
                <c:pt idx="46">
                  <c:v>438.1614380507723</c:v>
                </c:pt>
                <c:pt idx="47">
                  <c:v>444.86215216094314</c:v>
                </c:pt>
                <c:pt idx="48">
                  <c:v>451.562866271114</c:v>
                </c:pt>
                <c:pt idx="49">
                  <c:v>458.26358038128484</c:v>
                </c:pt>
                <c:pt idx="50">
                  <c:v>464.9642944914557</c:v>
                </c:pt>
                <c:pt idx="51">
                  <c:v>471.66500860162654</c:v>
                </c:pt>
                <c:pt idx="52">
                  <c:v>478.3657227117974</c:v>
                </c:pt>
                <c:pt idx="53">
                  <c:v>485.06643682196824</c:v>
                </c:pt>
                <c:pt idx="54">
                  <c:v>491.7671509321391</c:v>
                </c:pt>
                <c:pt idx="55">
                  <c:v>498.46786504230994</c:v>
                </c:pt>
                <c:pt idx="56">
                  <c:v>505.1685791524808</c:v>
                </c:pt>
                <c:pt idx="57">
                  <c:v>511.86929326265164</c:v>
                </c:pt>
                <c:pt idx="58">
                  <c:v>518.5700073728225</c:v>
                </c:pt>
                <c:pt idx="59">
                  <c:v>525.2707214829934</c:v>
                </c:pt>
                <c:pt idx="60">
                  <c:v>531.9714355931643</c:v>
                </c:pt>
                <c:pt idx="61">
                  <c:v>538.6721497033352</c:v>
                </c:pt>
                <c:pt idx="62">
                  <c:v>545.3728638135061</c:v>
                </c:pt>
                <c:pt idx="63">
                  <c:v>552.073577923677</c:v>
                </c:pt>
                <c:pt idx="64">
                  <c:v>558.7742920338479</c:v>
                </c:pt>
                <c:pt idx="65">
                  <c:v>565.4750061440188</c:v>
                </c:pt>
                <c:pt idx="66">
                  <c:v>572.1757202541897</c:v>
                </c:pt>
                <c:pt idx="67">
                  <c:v>578.8764343643606</c:v>
                </c:pt>
                <c:pt idx="68">
                  <c:v>585.5771484745316</c:v>
                </c:pt>
                <c:pt idx="69">
                  <c:v>592.2778625847025</c:v>
                </c:pt>
                <c:pt idx="70">
                  <c:v>598.9785766948734</c:v>
                </c:pt>
                <c:pt idx="71">
                  <c:v>605.6792908050443</c:v>
                </c:pt>
                <c:pt idx="72">
                  <c:v>612.3800049152152</c:v>
                </c:pt>
                <c:pt idx="73">
                  <c:v>619.0807190253861</c:v>
                </c:pt>
                <c:pt idx="74">
                  <c:v>625.781433135557</c:v>
                </c:pt>
                <c:pt idx="75">
                  <c:v>632.4821472457279</c:v>
                </c:pt>
                <c:pt idx="76">
                  <c:v>639.1828613558988</c:v>
                </c:pt>
                <c:pt idx="77">
                  <c:v>645.8835754660697</c:v>
                </c:pt>
                <c:pt idx="78">
                  <c:v>652.5842895762406</c:v>
                </c:pt>
                <c:pt idx="79">
                  <c:v>659.2850036864115</c:v>
                </c:pt>
                <c:pt idx="80">
                  <c:v>665.9857177965824</c:v>
                </c:pt>
                <c:pt idx="81">
                  <c:v>672.6864319067533</c:v>
                </c:pt>
                <c:pt idx="82">
                  <c:v>679.3871460169242</c:v>
                </c:pt>
                <c:pt idx="83">
                  <c:v>686.0878601270952</c:v>
                </c:pt>
                <c:pt idx="84">
                  <c:v>692.7885742372661</c:v>
                </c:pt>
                <c:pt idx="85">
                  <c:v>699.489288347437</c:v>
                </c:pt>
                <c:pt idx="86">
                  <c:v>706.1900024576079</c:v>
                </c:pt>
                <c:pt idx="87">
                  <c:v>712.8907165677788</c:v>
                </c:pt>
                <c:pt idx="88">
                  <c:v>719.5914306779497</c:v>
                </c:pt>
                <c:pt idx="89">
                  <c:v>726.2921447881206</c:v>
                </c:pt>
                <c:pt idx="90">
                  <c:v>732.9928588982915</c:v>
                </c:pt>
                <c:pt idx="91">
                  <c:v>739.6935730084624</c:v>
                </c:pt>
                <c:pt idx="92">
                  <c:v>746.3942871186333</c:v>
                </c:pt>
                <c:pt idx="93">
                  <c:v>753.0950012288042</c:v>
                </c:pt>
                <c:pt idx="94">
                  <c:v>759.7957153389751</c:v>
                </c:pt>
                <c:pt idx="95">
                  <c:v>766.496429449146</c:v>
                </c:pt>
                <c:pt idx="96">
                  <c:v>773.1971435593169</c:v>
                </c:pt>
                <c:pt idx="97">
                  <c:v>779.8978576694878</c:v>
                </c:pt>
                <c:pt idx="98">
                  <c:v>786.5985717796588</c:v>
                </c:pt>
                <c:pt idx="99">
                  <c:v>793.2992858898297</c:v>
                </c:pt>
                <c:pt idx="100">
                  <c:v>800</c:v>
                </c:pt>
              </c:numCache>
            </c:numRef>
          </c:yVal>
          <c:smooth val="1"/>
        </c:ser>
        <c:ser>
          <c:idx val="4"/>
          <c:order val="2"/>
          <c:tx>
            <c:v>P = 220.64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chart'!$K$8:$K$108</c:f>
              <c:numCache>
                <c:ptCount val="101"/>
                <c:pt idx="0">
                  <c:v>0.0006097836017471883</c:v>
                </c:pt>
                <c:pt idx="1">
                  <c:v>0.11188526138440481</c:v>
                </c:pt>
                <c:pt idx="2">
                  <c:v>0.22024059293739992</c:v>
                </c:pt>
                <c:pt idx="3">
                  <c:v>0.32586163815837393</c:v>
                </c:pt>
                <c:pt idx="4">
                  <c:v>0.4288953020582637</c:v>
                </c:pt>
                <c:pt idx="5">
                  <c:v>0.5294722539742178</c:v>
                </c:pt>
                <c:pt idx="6">
                  <c:v>0.6277153282212082</c:v>
                </c:pt>
                <c:pt idx="7">
                  <c:v>0.7237420408266875</c:v>
                </c:pt>
                <c:pt idx="8">
                  <c:v>0.817664943655478</c:v>
                </c:pt>
                <c:pt idx="9">
                  <c:v>0.9095913836437375</c:v>
                </c:pt>
                <c:pt idx="10">
                  <c:v>0.9996232680304092</c:v>
                </c:pt>
                <c:pt idx="11">
                  <c:v>1.0878570178975653</c:v>
                </c:pt>
                <c:pt idx="12">
                  <c:v>1.174383723877921</c:v>
                </c:pt>
                <c:pt idx="13">
                  <c:v>1.2592894605036866</c:v>
                </c:pt>
                <c:pt idx="14">
                  <c:v>1.3426557050365682</c:v>
                </c:pt>
                <c:pt idx="15">
                  <c:v>1.4245598135602786</c:v>
                </c:pt>
                <c:pt idx="16">
                  <c:v>1.5050755189098188</c:v>
                </c:pt>
                <c:pt idx="17">
                  <c:v>1.5842734265258753</c:v>
                </c:pt>
                <c:pt idx="18">
                  <c:v>1.6622214938382753</c:v>
                </c:pt>
                <c:pt idx="19">
                  <c:v>1.7389854860327119</c:v>
                </c:pt>
                <c:pt idx="20">
                  <c:v>1.8146294063256563</c:v>
                </c:pt>
                <c:pt idx="21">
                  <c:v>1.8892159026062483</c:v>
                </c:pt>
                <c:pt idx="22">
                  <c:v>1.9628066549391037</c:v>
                </c:pt>
                <c:pt idx="23">
                  <c:v>2.035462750337359</c:v>
                </c:pt>
                <c:pt idx="24">
                  <c:v>2.107245052724597</c:v>
                </c:pt>
                <c:pt idx="25">
                  <c:v>2.1782145773685118</c:v>
                </c:pt>
                <c:pt idx="26">
                  <c:v>2.2484328805180067</c:v>
                </c:pt>
                <c:pt idx="27">
                  <c:v>2.3179624767347553</c:v>
                </c:pt>
                <c:pt idx="28">
                  <c:v>2.3868672987362065</c:v>
                </c:pt>
                <c:pt idx="29">
                  <c:v>2.4552132177952415</c:v>
                </c:pt>
                <c:pt idx="30">
                  <c:v>2.5230686473618666</c:v>
                </c:pt>
                <c:pt idx="31">
                  <c:v>2.5905052593473066</c:v>
                </c:pt>
                <c:pt idx="32">
                  <c:v>2.6575988526679573</c:v>
                </c:pt>
                <c:pt idx="33">
                  <c:v>2.724430429174166</c:v>
                </c:pt>
                <c:pt idx="34">
                  <c:v>2.791087556182831</c:v>
                </c:pt>
                <c:pt idx="35">
                  <c:v>2.8576661325193506</c:v>
                </c:pt>
                <c:pt idx="36">
                  <c:v>2.9242727339386496</c:v>
                </c:pt>
                <c:pt idx="37">
                  <c:v>2.9910278054846486</c:v>
                </c:pt>
                <c:pt idx="38">
                  <c:v>3.058070109827186</c:v>
                </c:pt>
                <c:pt idx="39">
                  <c:v>3.1255630591965664</c:v>
                </c:pt>
                <c:pt idx="40">
                  <c:v>3.1937039058483823</c:v>
                </c:pt>
                <c:pt idx="41">
                  <c:v>3.262737359301521</c:v>
                </c:pt>
                <c:pt idx="42">
                  <c:v>3.332976328396956</c:v>
                </c:pt>
                <c:pt idx="43">
                  <c:v>3.4048348612603654</c:v>
                </c:pt>
                <c:pt idx="44">
                  <c:v>3.47888362972465</c:v>
                </c:pt>
                <c:pt idx="45">
                  <c:v>3.5559505721321987</c:v>
                </c:pt>
                <c:pt idx="46">
                  <c:v>3.637322707906904</c:v>
                </c:pt>
                <c:pt idx="47">
                  <c:v>3.7252169117030194</c:v>
                </c:pt>
                <c:pt idx="48">
                  <c:v>3.8245686059904465</c:v>
                </c:pt>
                <c:pt idx="49">
                  <c:v>3.948649603654258</c:v>
                </c:pt>
                <c:pt idx="50">
                  <c:v>4.412021482236349</c:v>
                </c:pt>
                <c:pt idx="51">
                  <c:v>5.112178308456133</c:v>
                </c:pt>
                <c:pt idx="52">
                  <c:v>5.276589744444189</c:v>
                </c:pt>
                <c:pt idx="53">
                  <c:v>5.394093060412351</c:v>
                </c:pt>
                <c:pt idx="54">
                  <c:v>5.488363789287854</c:v>
                </c:pt>
                <c:pt idx="55">
                  <c:v>5.568364561868015</c:v>
                </c:pt>
                <c:pt idx="56">
                  <c:v>5.638705311935172</c:v>
                </c:pt>
                <c:pt idx="57">
                  <c:v>5.7019935529218575</c:v>
                </c:pt>
                <c:pt idx="58">
                  <c:v>5.759845052637963</c:v>
                </c:pt>
                <c:pt idx="59">
                  <c:v>5.813349298047169</c:v>
                </c:pt>
                <c:pt idx="60">
                  <c:v>5.8632879348235125</c:v>
                </c:pt>
                <c:pt idx="61">
                  <c:v>5.91024593642122</c:v>
                </c:pt>
                <c:pt idx="62">
                  <c:v>5.95467429006852</c:v>
                </c:pt>
                <c:pt idx="63">
                  <c:v>5.996928538342872</c:v>
                </c:pt>
                <c:pt idx="64">
                  <c:v>6.037294002904496</c:v>
                </c:pt>
                <c:pt idx="65">
                  <c:v>6.076003045783018</c:v>
                </c:pt>
                <c:pt idx="66">
                  <c:v>6.113247285022372</c:v>
                </c:pt>
                <c:pt idx="67">
                  <c:v>6.149186472184723</c:v>
                </c:pt>
                <c:pt idx="68">
                  <c:v>6.1839550853757475</c:v>
                </c:pt>
                <c:pt idx="69">
                  <c:v>6.217667314968139</c:v>
                </c:pt>
                <c:pt idx="70">
                  <c:v>6.250420891967133</c:v>
                </c:pt>
                <c:pt idx="71">
                  <c:v>6.282300066531573</c:v>
                </c:pt>
                <c:pt idx="72">
                  <c:v>6.3133779519823925</c:v>
                </c:pt>
                <c:pt idx="73">
                  <c:v>6.3437183882775106</c:v>
                </c:pt>
                <c:pt idx="74">
                  <c:v>6.373377437072896</c:v>
                </c:pt>
                <c:pt idx="75">
                  <c:v>6.402404591293391</c:v>
                </c:pt>
                <c:pt idx="76">
                  <c:v>6.430843761369772</c:v>
                </c:pt>
                <c:pt idx="77">
                  <c:v>6.458734085270404</c:v>
                </c:pt>
                <c:pt idx="78">
                  <c:v>6.486110598416496</c:v>
                </c:pt>
                <c:pt idx="79">
                  <c:v>6.513004791356128</c:v>
                </c:pt>
                <c:pt idx="80">
                  <c:v>6.539445076893807</c:v>
                </c:pt>
                <c:pt idx="81">
                  <c:v>6.565457183682173</c:v>
                </c:pt>
                <c:pt idx="82">
                  <c:v>6.591064489694321</c:v>
                </c:pt>
                <c:pt idx="83">
                  <c:v>6.616288306231562</c:v>
                </c:pt>
                <c:pt idx="84">
                  <c:v>6.641148120980308</c:v>
                </c:pt>
                <c:pt idx="85">
                  <c:v>6.665661806963589</c:v>
                </c:pt>
                <c:pt idx="86">
                  <c:v>6.689845802926298</c:v>
                </c:pt>
                <c:pt idx="87">
                  <c:v>6.713715269664716</c:v>
                </c:pt>
                <c:pt idx="88">
                  <c:v>6.737284225996639</c:v>
                </c:pt>
                <c:pt idx="89">
                  <c:v>6.7605656674203125</c:v>
                </c:pt>
                <c:pt idx="90">
                  <c:v>6.783571669991259</c:v>
                </c:pt>
                <c:pt idx="91">
                  <c:v>6.806313481527886</c:v>
                </c:pt>
                <c:pt idx="92">
                  <c:v>6.828801601917511</c:v>
                </c:pt>
                <c:pt idx="93">
                  <c:v>6.851045854017416</c:v>
                </c:pt>
                <c:pt idx="94">
                  <c:v>6.873055446417991</c:v>
                </c:pt>
                <c:pt idx="95">
                  <c:v>6.894839029146701</c:v>
                </c:pt>
                <c:pt idx="96">
                  <c:v>6.916404743234736</c:v>
                </c:pt>
                <c:pt idx="97">
                  <c:v>6.937760264937004</c:v>
                </c:pt>
                <c:pt idx="98">
                  <c:v>6.958912845285406</c:v>
                </c:pt>
                <c:pt idx="99">
                  <c:v>6.9798693455617675</c:v>
                </c:pt>
                <c:pt idx="100">
                  <c:v>7.000636269197084</c:v>
                </c:pt>
              </c:numCache>
            </c:numRef>
          </c:xVal>
          <c:yVal>
            <c:numRef>
              <c:f>'data T-s chart'!$L$8:$L$108</c:f>
              <c:numCache>
                <c:ptCount val="101"/>
                <c:pt idx="0">
                  <c:v>0.01000001</c:v>
                </c:pt>
                <c:pt idx="1">
                  <c:v>7.488720009800001</c:v>
                </c:pt>
                <c:pt idx="2">
                  <c:v>14.9674400096</c:v>
                </c:pt>
                <c:pt idx="3">
                  <c:v>22.446160009400003</c:v>
                </c:pt>
                <c:pt idx="4">
                  <c:v>29.924880009200002</c:v>
                </c:pt>
                <c:pt idx="5">
                  <c:v>37.403600009</c:v>
                </c:pt>
                <c:pt idx="6">
                  <c:v>44.8823200088</c:v>
                </c:pt>
                <c:pt idx="7">
                  <c:v>52.3610400086</c:v>
                </c:pt>
                <c:pt idx="8">
                  <c:v>59.8397600084</c:v>
                </c:pt>
                <c:pt idx="9">
                  <c:v>67.3184800082</c:v>
                </c:pt>
                <c:pt idx="10">
                  <c:v>74.797200008</c:v>
                </c:pt>
                <c:pt idx="11">
                  <c:v>82.27592000780001</c:v>
                </c:pt>
                <c:pt idx="12">
                  <c:v>89.75464000760002</c:v>
                </c:pt>
                <c:pt idx="13">
                  <c:v>97.23336000740002</c:v>
                </c:pt>
                <c:pt idx="14">
                  <c:v>104.71208000720003</c:v>
                </c:pt>
                <c:pt idx="15">
                  <c:v>112.19080000700004</c:v>
                </c:pt>
                <c:pt idx="16">
                  <c:v>119.66952000680004</c:v>
                </c:pt>
                <c:pt idx="17">
                  <c:v>127.14824000660005</c:v>
                </c:pt>
                <c:pt idx="18">
                  <c:v>134.62696000640005</c:v>
                </c:pt>
                <c:pt idx="19">
                  <c:v>142.10568000620006</c:v>
                </c:pt>
                <c:pt idx="20">
                  <c:v>149.58440000600007</c:v>
                </c:pt>
                <c:pt idx="21">
                  <c:v>157.06312000580007</c:v>
                </c:pt>
                <c:pt idx="22">
                  <c:v>164.54184000560008</c:v>
                </c:pt>
                <c:pt idx="23">
                  <c:v>172.02056000540009</c:v>
                </c:pt>
                <c:pt idx="24">
                  <c:v>179.4992800052001</c:v>
                </c:pt>
                <c:pt idx="25">
                  <c:v>186.9780000050001</c:v>
                </c:pt>
                <c:pt idx="26">
                  <c:v>194.4567200048001</c:v>
                </c:pt>
                <c:pt idx="27">
                  <c:v>201.9354400046001</c:v>
                </c:pt>
                <c:pt idx="28">
                  <c:v>209.41416000440012</c:v>
                </c:pt>
                <c:pt idx="29">
                  <c:v>216.89288000420012</c:v>
                </c:pt>
                <c:pt idx="30">
                  <c:v>224.37160000400013</c:v>
                </c:pt>
                <c:pt idx="31">
                  <c:v>231.85032000380014</c:v>
                </c:pt>
                <c:pt idx="32">
                  <c:v>239.32904000360014</c:v>
                </c:pt>
                <c:pt idx="33">
                  <c:v>246.80776000340015</c:v>
                </c:pt>
                <c:pt idx="34">
                  <c:v>254.28648000320015</c:v>
                </c:pt>
                <c:pt idx="35">
                  <c:v>261.76520000300013</c:v>
                </c:pt>
                <c:pt idx="36">
                  <c:v>269.2439200028001</c:v>
                </c:pt>
                <c:pt idx="37">
                  <c:v>276.7226400026001</c:v>
                </c:pt>
                <c:pt idx="38">
                  <c:v>284.20136000240007</c:v>
                </c:pt>
                <c:pt idx="39">
                  <c:v>291.68008000220004</c:v>
                </c:pt>
                <c:pt idx="40">
                  <c:v>299.158800002</c:v>
                </c:pt>
                <c:pt idx="41">
                  <c:v>306.6375200018</c:v>
                </c:pt>
                <c:pt idx="42">
                  <c:v>314.1162400016</c:v>
                </c:pt>
                <c:pt idx="43">
                  <c:v>321.59496000139995</c:v>
                </c:pt>
                <c:pt idx="44">
                  <c:v>329.07368000119993</c:v>
                </c:pt>
                <c:pt idx="45">
                  <c:v>336.5524000009999</c:v>
                </c:pt>
                <c:pt idx="46">
                  <c:v>344.0311200007999</c:v>
                </c:pt>
                <c:pt idx="47">
                  <c:v>351.50984000059987</c:v>
                </c:pt>
                <c:pt idx="48">
                  <c:v>358.98856000039984</c:v>
                </c:pt>
                <c:pt idx="49">
                  <c:v>366.4672800001998</c:v>
                </c:pt>
                <c:pt idx="50">
                  <c:v>373.946</c:v>
                </c:pt>
                <c:pt idx="51">
                  <c:v>382.46708</c:v>
                </c:pt>
                <c:pt idx="52">
                  <c:v>390.98816</c:v>
                </c:pt>
                <c:pt idx="53">
                  <c:v>399.50924</c:v>
                </c:pt>
                <c:pt idx="54">
                  <c:v>408.03031999999996</c:v>
                </c:pt>
                <c:pt idx="55">
                  <c:v>416.55139999999994</c:v>
                </c:pt>
                <c:pt idx="56">
                  <c:v>425.0724799999999</c:v>
                </c:pt>
                <c:pt idx="57">
                  <c:v>433.5935599999999</c:v>
                </c:pt>
                <c:pt idx="58">
                  <c:v>442.1146399999999</c:v>
                </c:pt>
                <c:pt idx="59">
                  <c:v>450.6357199999999</c:v>
                </c:pt>
                <c:pt idx="60">
                  <c:v>459.15679999999986</c:v>
                </c:pt>
                <c:pt idx="61">
                  <c:v>467.67787999999985</c:v>
                </c:pt>
                <c:pt idx="62">
                  <c:v>476.19895999999983</c:v>
                </c:pt>
                <c:pt idx="63">
                  <c:v>484.7200399999998</c:v>
                </c:pt>
                <c:pt idx="64">
                  <c:v>493.2411199999998</c:v>
                </c:pt>
                <c:pt idx="65">
                  <c:v>501.7621999999998</c:v>
                </c:pt>
                <c:pt idx="66">
                  <c:v>510.28327999999976</c:v>
                </c:pt>
                <c:pt idx="67">
                  <c:v>518.8043599999997</c:v>
                </c:pt>
                <c:pt idx="68">
                  <c:v>527.3254399999997</c:v>
                </c:pt>
                <c:pt idx="69">
                  <c:v>535.8465199999997</c:v>
                </c:pt>
                <c:pt idx="70">
                  <c:v>544.3675999999997</c:v>
                </c:pt>
                <c:pt idx="71">
                  <c:v>552.8886799999997</c:v>
                </c:pt>
                <c:pt idx="72">
                  <c:v>561.4097599999997</c:v>
                </c:pt>
                <c:pt idx="73">
                  <c:v>569.9308399999996</c:v>
                </c:pt>
                <c:pt idx="74">
                  <c:v>578.4519199999996</c:v>
                </c:pt>
                <c:pt idx="75">
                  <c:v>586.9729999999996</c:v>
                </c:pt>
                <c:pt idx="76">
                  <c:v>595.4940799999996</c:v>
                </c:pt>
                <c:pt idx="77">
                  <c:v>604.0151599999996</c:v>
                </c:pt>
                <c:pt idx="78">
                  <c:v>612.5362399999996</c:v>
                </c:pt>
                <c:pt idx="79">
                  <c:v>621.0573199999995</c:v>
                </c:pt>
                <c:pt idx="80">
                  <c:v>629.5783999999995</c:v>
                </c:pt>
                <c:pt idx="81">
                  <c:v>638.0994799999995</c:v>
                </c:pt>
                <c:pt idx="82">
                  <c:v>646.6205599999995</c:v>
                </c:pt>
                <c:pt idx="83">
                  <c:v>655.1416399999995</c:v>
                </c:pt>
                <c:pt idx="84">
                  <c:v>663.6627199999995</c:v>
                </c:pt>
                <c:pt idx="85">
                  <c:v>672.1837999999995</c:v>
                </c:pt>
                <c:pt idx="86">
                  <c:v>680.7048799999994</c:v>
                </c:pt>
                <c:pt idx="87">
                  <c:v>689.2259599999994</c:v>
                </c:pt>
                <c:pt idx="88">
                  <c:v>697.7470399999994</c:v>
                </c:pt>
                <c:pt idx="89">
                  <c:v>706.2681199999994</c:v>
                </c:pt>
                <c:pt idx="90">
                  <c:v>714.7891999999994</c:v>
                </c:pt>
                <c:pt idx="91">
                  <c:v>723.3102799999994</c:v>
                </c:pt>
                <c:pt idx="92">
                  <c:v>731.8313599999993</c:v>
                </c:pt>
                <c:pt idx="93">
                  <c:v>740.3524399999993</c:v>
                </c:pt>
                <c:pt idx="94">
                  <c:v>748.8735199999993</c:v>
                </c:pt>
                <c:pt idx="95">
                  <c:v>757.3945999999993</c:v>
                </c:pt>
                <c:pt idx="96">
                  <c:v>765.9156799999993</c:v>
                </c:pt>
                <c:pt idx="97">
                  <c:v>774.4367599999993</c:v>
                </c:pt>
                <c:pt idx="98">
                  <c:v>782.9578399999992</c:v>
                </c:pt>
                <c:pt idx="99">
                  <c:v>791.4789199999992</c:v>
                </c:pt>
                <c:pt idx="100">
                  <c:v>800</c:v>
                </c:pt>
              </c:numCache>
            </c:numRef>
          </c:yVal>
          <c:smooth val="1"/>
        </c:ser>
        <c:ser>
          <c:idx val="6"/>
          <c:order val="3"/>
          <c:tx>
            <c:v>P = 661.92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chart'!$M$8:$M$108</c:f>
              <c:numCache>
                <c:ptCount val="101"/>
                <c:pt idx="0">
                  <c:v>-0.002709384693398821</c:v>
                </c:pt>
                <c:pt idx="1">
                  <c:v>0.11245919083170254</c:v>
                </c:pt>
                <c:pt idx="2">
                  <c:v>0.22495718459263883</c:v>
                </c:pt>
                <c:pt idx="3">
                  <c:v>0.3347721954620978</c:v>
                </c:pt>
                <c:pt idx="4">
                  <c:v>0.44194428827575866</c:v>
                </c:pt>
                <c:pt idx="5">
                  <c:v>0.5465474705609137</c:v>
                </c:pt>
                <c:pt idx="6">
                  <c:v>0.6486754981598754</c:v>
                </c:pt>
                <c:pt idx="7">
                  <c:v>0.7484319192920619</c:v>
                </c:pt>
                <c:pt idx="8">
                  <c:v>0.8459235142846271</c:v>
                </c:pt>
                <c:pt idx="9">
                  <c:v>0.9412562201804205</c:v>
                </c:pt>
                <c:pt idx="10">
                  <c:v>1.034532777669226</c:v>
                </c:pt>
                <c:pt idx="11">
                  <c:v>1.1258515242460008</c:v>
                </c:pt>
                <c:pt idx="12">
                  <c:v>1.2153059218798026</c:v>
                </c:pt>
                <c:pt idx="13">
                  <c:v>1.302984535449391</c:v>
                </c:pt>
                <c:pt idx="14">
                  <c:v>1.3889712718597504</c:v>
                </c:pt>
                <c:pt idx="15">
                  <c:v>1.4733457558247112</c:v>
                </c:pt>
                <c:pt idx="16">
                  <c:v>1.5561837637498988</c:v>
                </c:pt>
                <c:pt idx="17">
                  <c:v>1.6375576677965509</c:v>
                </c:pt>
                <c:pt idx="18">
                  <c:v>1.7175368624957645</c:v>
                </c:pt>
                <c:pt idx="19">
                  <c:v>1.7961881594555176</c:v>
                </c:pt>
                <c:pt idx="20">
                  <c:v>1.8735761440564072</c:v>
                </c:pt>
                <c:pt idx="21">
                  <c:v>1.9497634931656147</c:v>
                </c:pt>
                <c:pt idx="22">
                  <c:v>2.0248112559090323</c:v>
                </c:pt>
                <c:pt idx="23">
                  <c:v>2.098779101174123</c:v>
                </c:pt>
                <c:pt idx="24">
                  <c:v>2.171725536269111</c:v>
                </c:pt>
                <c:pt idx="25">
                  <c:v>2.2437081013674938</c:v>
                </c:pt>
                <c:pt idx="26">
                  <c:v>2.3147835442315863</c:v>
                </c:pt>
                <c:pt idx="27">
                  <c:v>2.3850079793650525</c:v>
                </c:pt>
                <c:pt idx="28">
                  <c:v>2.454437035262912</c:v>
                </c:pt>
                <c:pt idx="29">
                  <c:v>2.5231259928357135</c:v>
                </c:pt>
                <c:pt idx="30">
                  <c:v>2.5911299173730176</c:v>
                </c:pt>
                <c:pt idx="31">
                  <c:v>2.658503785537302</c:v>
                </c:pt>
                <c:pt idx="32">
                  <c:v>2.7253026077634894</c:v>
                </c:pt>
                <c:pt idx="33">
                  <c:v>2.7915815449585963</c:v>
                </c:pt>
                <c:pt idx="34">
                  <c:v>2.8573960163698344</c:v>
                </c:pt>
                <c:pt idx="35">
                  <c:v>2.922801792660333</c:v>
                </c:pt>
                <c:pt idx="36">
                  <c:v>2.98785506423304</c:v>
                </c:pt>
                <c:pt idx="37">
                  <c:v>3.0526124691578715</c:v>
                </c:pt>
                <c:pt idx="38">
                  <c:v>3.117131056954819</c:v>
                </c:pt>
                <c:pt idx="39">
                  <c:v>3.181468152936674</c:v>
                </c:pt>
                <c:pt idx="40">
                  <c:v>3.245681071372533</c:v>
                </c:pt>
                <c:pt idx="41">
                  <c:v>3.3098266023697485</c:v>
                </c:pt>
                <c:pt idx="42">
                  <c:v>3.373960164268043</c:v>
                </c:pt>
                <c:pt idx="43">
                  <c:v>3.4381344666171083</c:v>
                </c:pt>
                <c:pt idx="44">
                  <c:v>3.5023661173369223</c:v>
                </c:pt>
                <c:pt idx="45">
                  <c:v>3.566870838607226</c:v>
                </c:pt>
                <c:pt idx="46">
                  <c:v>3.6317656259957403</c:v>
                </c:pt>
                <c:pt idx="47">
                  <c:v>3.697122985457736</c:v>
                </c:pt>
                <c:pt idx="48">
                  <c:v>3.763016475024005</c:v>
                </c:pt>
                <c:pt idx="49">
                  <c:v>3.8295488275020038</c:v>
                </c:pt>
                <c:pt idx="50">
                  <c:v>3.8968513056284317</c:v>
                </c:pt>
                <c:pt idx="51">
                  <c:v>3.965072559051231</c:v>
                </c:pt>
                <c:pt idx="52">
                  <c:v>4.03436433895449</c:v>
                </c:pt>
                <c:pt idx="53">
                  <c:v>4.104866101656553</c:v>
                </c:pt>
                <c:pt idx="54">
                  <c:v>4.176688112865715</c:v>
                </c:pt>
                <c:pt idx="55">
                  <c:v>4.2498918335880775</c:v>
                </c:pt>
                <c:pt idx="56">
                  <c:v>4.324466707474306</c:v>
                </c:pt>
                <c:pt idx="57">
                  <c:v>4.400304163612581</c:v>
                </c:pt>
                <c:pt idx="58">
                  <c:v>4.477173103937152</c:v>
                </c:pt>
                <c:pt idx="59">
                  <c:v>4.554705301736934</c:v>
                </c:pt>
                <c:pt idx="60">
                  <c:v>4.632402177522523</c:v>
                </c:pt>
                <c:pt idx="61">
                  <c:v>4.709670759583404</c:v>
                </c:pt>
                <c:pt idx="62">
                  <c:v>4.785885977633853</c:v>
                </c:pt>
                <c:pt idx="63">
                  <c:v>4.860462833314589</c:v>
                </c:pt>
                <c:pt idx="64">
                  <c:v>4.93291657186901</c:v>
                </c:pt>
                <c:pt idx="65">
                  <c:v>5.002895826262109</c:v>
                </c:pt>
                <c:pt idx="66">
                  <c:v>5.070225289386984</c:v>
                </c:pt>
                <c:pt idx="67">
                  <c:v>5.134561458133326</c:v>
                </c:pt>
                <c:pt idx="68">
                  <c:v>5.196192311625874</c:v>
                </c:pt>
                <c:pt idx="69">
                  <c:v>5.254943030877222</c:v>
                </c:pt>
                <c:pt idx="70">
                  <c:v>5.310948936754523</c:v>
                </c:pt>
                <c:pt idx="71">
                  <c:v>5.3644169688170615</c:v>
                </c:pt>
                <c:pt idx="72">
                  <c:v>5.415518856939506</c:v>
                </c:pt>
                <c:pt idx="73">
                  <c:v>5.464401500911573</c:v>
                </c:pt>
                <c:pt idx="74">
                  <c:v>5.511209029423421</c:v>
                </c:pt>
                <c:pt idx="75">
                  <c:v>5.556090122200906</c:v>
                </c:pt>
                <c:pt idx="76">
                  <c:v>5.59919492045426</c:v>
                </c:pt>
                <c:pt idx="77">
                  <c:v>5.640668922922759</c:v>
                </c:pt>
                <c:pt idx="78">
                  <c:v>5.680647916393752</c:v>
                </c:pt>
                <c:pt idx="79">
                  <c:v>5.719255150319367</c:v>
                </c:pt>
                <c:pt idx="80">
                  <c:v>5.756600561637738</c:v>
                </c:pt>
                <c:pt idx="81">
                  <c:v>5.7927814039702925</c:v>
                </c:pt>
                <c:pt idx="82">
                  <c:v>5.82788363421373</c:v>
                </c:pt>
                <c:pt idx="83">
                  <c:v>5.861983566509641</c:v>
                </c:pt>
                <c:pt idx="84">
                  <c:v>5.89514948184016</c:v>
                </c:pt>
                <c:pt idx="85">
                  <c:v>5.927443028859824</c:v>
                </c:pt>
                <c:pt idx="86">
                  <c:v>5.958920355489754</c:v>
                </c:pt>
                <c:pt idx="87">
                  <c:v>5.989632975088938</c:v>
                </c:pt>
                <c:pt idx="88">
                  <c:v>6.019628404805093</c:v>
                </c:pt>
                <c:pt idx="89">
                  <c:v>6.048950626541583</c:v>
                </c:pt>
                <c:pt idx="90">
                  <c:v>6.077640420906677</c:v>
                </c:pt>
                <c:pt idx="91">
                  <c:v>6.105735617572861</c:v>
                </c:pt>
                <c:pt idx="92">
                  <c:v>6.133271295791881</c:v>
                </c:pt>
                <c:pt idx="93">
                  <c:v>6.160279958948724</c:v>
                </c:pt>
                <c:pt idx="94">
                  <c:v>6.186791698392407</c:v>
                </c:pt>
                <c:pt idx="95">
                  <c:v>6.212834354950401</c:v>
                </c:pt>
                <c:pt idx="96">
                  <c:v>6.238433681607067</c:v>
                </c:pt>
                <c:pt idx="97">
                  <c:v>6.263613507609888</c:v>
                </c:pt>
                <c:pt idx="98">
                  <c:v>6.288395902433571</c:v>
                </c:pt>
                <c:pt idx="99">
                  <c:v>6.312801337222655</c:v>
                </c:pt>
                <c:pt idx="100">
                  <c:v>6.3368488412146595</c:v>
                </c:pt>
              </c:numCache>
            </c:numRef>
          </c:xVal>
          <c:yVal>
            <c:numRef>
              <c:f>'data T-s chart'!$N$8:$N$108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8"/>
          <c:order val="4"/>
          <c:tx>
            <c:v>v = 0.5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chart'!$P$8:$P$108</c:f>
              <c:numCache>
                <c:ptCount val="101"/>
                <c:pt idx="0">
                  <c:v>0.02217793328408877</c:v>
                </c:pt>
                <c:pt idx="1">
                  <c:v>0.15795698054274065</c:v>
                </c:pt>
                <c:pt idx="2">
                  <c:v>0.297152667530403</c:v>
                </c:pt>
                <c:pt idx="3">
                  <c:v>0.44287987394826056</c:v>
                </c:pt>
                <c:pt idx="4">
                  <c:v>0.5987722900272742</c:v>
                </c:pt>
                <c:pt idx="5">
                  <c:v>0.7690897661060999</c:v>
                </c:pt>
                <c:pt idx="6">
                  <c:v>0.9587704534663064</c:v>
                </c:pt>
                <c:pt idx="7">
                  <c:v>1.173446052768742</c:v>
                </c:pt>
                <c:pt idx="8">
                  <c:v>1.4194290552505597</c:v>
                </c:pt>
                <c:pt idx="9">
                  <c:v>1.703677420461167</c:v>
                </c:pt>
                <c:pt idx="10">
                  <c:v>2.0337411484780534</c:v>
                </c:pt>
                <c:pt idx="11">
                  <c:v>2.417695047760659</c:v>
                </c:pt>
                <c:pt idx="12">
                  <c:v>2.864061940648731</c:v>
                </c:pt>
                <c:pt idx="13">
                  <c:v>3.3817303104125753</c:v>
                </c:pt>
                <c:pt idx="14">
                  <c:v>3.9798699524388894</c:v>
                </c:pt>
                <c:pt idx="15">
                  <c:v>4.667848656303811</c:v>
                </c:pt>
                <c:pt idx="16">
                  <c:v>5.455152455492232</c:v>
                </c:pt>
                <c:pt idx="17">
                  <c:v>6.351311620216077</c:v>
                </c:pt>
                <c:pt idx="18">
                  <c:v>6.936991802431797</c:v>
                </c:pt>
                <c:pt idx="19">
                  <c:v>6.968610518651839</c:v>
                </c:pt>
                <c:pt idx="20">
                  <c:v>6.999138124326654</c:v>
                </c:pt>
                <c:pt idx="21">
                  <c:v>7.028770633535468</c:v>
                </c:pt>
                <c:pt idx="22">
                  <c:v>7.057624147139103</c:v>
                </c:pt>
                <c:pt idx="23">
                  <c:v>7.0857788950913205</c:v>
                </c:pt>
                <c:pt idx="24">
                  <c:v>7.113296881170099</c:v>
                </c:pt>
                <c:pt idx="25">
                  <c:v>7.140229324256753</c:v>
                </c:pt>
                <c:pt idx="26">
                  <c:v>7.166620046814699</c:v>
                </c:pt>
                <c:pt idx="27">
                  <c:v>7.192507253834712</c:v>
                </c:pt>
                <c:pt idx="28">
                  <c:v>7.217924621196832</c:v>
                </c:pt>
                <c:pt idx="29">
                  <c:v>7.242902005028628</c:v>
                </c:pt>
                <c:pt idx="30">
                  <c:v>7.26746604103801</c:v>
                </c:pt>
                <c:pt idx="31">
                  <c:v>7.291640563878698</c:v>
                </c:pt>
                <c:pt idx="32">
                  <c:v>7.31544701626187</c:v>
                </c:pt>
                <c:pt idx="33">
                  <c:v>7.338904749870829</c:v>
                </c:pt>
                <c:pt idx="34">
                  <c:v>7.362031283400109</c:v>
                </c:pt>
                <c:pt idx="35">
                  <c:v>7.384842551929674</c:v>
                </c:pt>
                <c:pt idx="36">
                  <c:v>7.407353102623047</c:v>
                </c:pt>
                <c:pt idx="37">
                  <c:v>7.42957624242391</c:v>
                </c:pt>
                <c:pt idx="38">
                  <c:v>7.4515242124291134</c:v>
                </c:pt>
                <c:pt idx="39">
                  <c:v>7.473208280438042</c:v>
                </c:pt>
                <c:pt idx="40">
                  <c:v>7.49463888508707</c:v>
                </c:pt>
                <c:pt idx="41">
                  <c:v>7.515825692263066</c:v>
                </c:pt>
                <c:pt idx="42">
                  <c:v>7.536777697743354</c:v>
                </c:pt>
                <c:pt idx="43">
                  <c:v>7.55750330711708</c:v>
                </c:pt>
                <c:pt idx="44">
                  <c:v>7.578010359789337</c:v>
                </c:pt>
                <c:pt idx="45">
                  <c:v>7.598306225891871</c:v>
                </c:pt>
                <c:pt idx="46">
                  <c:v>7.618397820215013</c:v>
                </c:pt>
                <c:pt idx="47">
                  <c:v>7.638291662172694</c:v>
                </c:pt>
                <c:pt idx="48">
                  <c:v>7.657993904337451</c:v>
                </c:pt>
                <c:pt idx="49">
                  <c:v>7.6775103616615965</c:v>
                </c:pt>
                <c:pt idx="50">
                  <c:v>7.696846556937199</c:v>
                </c:pt>
                <c:pt idx="51">
                  <c:v>7.716007716532437</c:v>
                </c:pt>
                <c:pt idx="52">
                  <c:v>7.734998814678893</c:v>
                </c:pt>
                <c:pt idx="53">
                  <c:v>7.75382458697218</c:v>
                </c:pt>
                <c:pt idx="54">
                  <c:v>7.772489547723185</c:v>
                </c:pt>
                <c:pt idx="55">
                  <c:v>7.790998004705846</c:v>
                </c:pt>
                <c:pt idx="56">
                  <c:v>7.809354077930467</c:v>
                </c:pt>
                <c:pt idx="57">
                  <c:v>7.827561700774742</c:v>
                </c:pt>
                <c:pt idx="58">
                  <c:v>7.845624653214442</c:v>
                </c:pt>
                <c:pt idx="59">
                  <c:v>7.86354654033175</c:v>
                </c:pt>
                <c:pt idx="60">
                  <c:v>7.881330836953128</c:v>
                </c:pt>
                <c:pt idx="61">
                  <c:v>7.898980866524386</c:v>
                </c:pt>
                <c:pt idx="62">
                  <c:v>7.916499824826701</c:v>
                </c:pt>
                <c:pt idx="63">
                  <c:v>7.9338907936597</c:v>
                </c:pt>
                <c:pt idx="64">
                  <c:v>7.951156724139221</c:v>
                </c:pt>
                <c:pt idx="65">
                  <c:v>7.96830046176029</c:v>
                </c:pt>
                <c:pt idx="66">
                  <c:v>7.985324746576584</c:v>
                </c:pt>
                <c:pt idx="67">
                  <c:v>8.002232218301907</c:v>
                </c:pt>
                <c:pt idx="68">
                  <c:v>8.019025417390306</c:v>
                </c:pt>
                <c:pt idx="69">
                  <c:v>8.035706807282844</c:v>
                </c:pt>
                <c:pt idx="70">
                  <c:v>8.052278745936281</c:v>
                </c:pt>
                <c:pt idx="71">
                  <c:v>8.068743518317651</c:v>
                </c:pt>
                <c:pt idx="72">
                  <c:v>8.0851033282381</c:v>
                </c:pt>
                <c:pt idx="73">
                  <c:v>8.101360308443066</c:v>
                </c:pt>
                <c:pt idx="74">
                  <c:v>8.11751651099075</c:v>
                </c:pt>
                <c:pt idx="75">
                  <c:v>8.133573927894531</c:v>
                </c:pt>
                <c:pt idx="76">
                  <c:v>8.149534477399946</c:v>
                </c:pt>
                <c:pt idx="77">
                  <c:v>8.165400018790866</c:v>
                </c:pt>
                <c:pt idx="78">
                  <c:v>8.18117234969991</c:v>
                </c:pt>
                <c:pt idx="79">
                  <c:v>8.196853209796863</c:v>
                </c:pt>
                <c:pt idx="80">
                  <c:v>8.212444283286231</c:v>
                </c:pt>
                <c:pt idx="81">
                  <c:v>8.22794720131049</c:v>
                </c:pt>
                <c:pt idx="82">
                  <c:v>8.243363544267845</c:v>
                </c:pt>
                <c:pt idx="83">
                  <c:v>8.258694844052577</c:v>
                </c:pt>
                <c:pt idx="84">
                  <c:v>8.27394259168922</c:v>
                </c:pt>
                <c:pt idx="85">
                  <c:v>8.289108220740403</c:v>
                </c:pt>
                <c:pt idx="86">
                  <c:v>8.304193133977252</c:v>
                </c:pt>
                <c:pt idx="87">
                  <c:v>8.319198690724221</c:v>
                </c:pt>
                <c:pt idx="88">
                  <c:v>8.334126212114457</c:v>
                </c:pt>
                <c:pt idx="89">
                  <c:v>8.348976982989393</c:v>
                </c:pt>
                <c:pt idx="90">
                  <c:v>8.363752253756322</c:v>
                </c:pt>
                <c:pt idx="91">
                  <c:v>8.37845324220753</c:v>
                </c:pt>
                <c:pt idx="92">
                  <c:v>8.393081135303989</c:v>
                </c:pt>
                <c:pt idx="93">
                  <c:v>8.407637090926496</c:v>
                </c:pt>
                <c:pt idx="94">
                  <c:v>8.422122239596757</c:v>
                </c:pt>
                <c:pt idx="95">
                  <c:v>8.436537686170816</c:v>
                </c:pt>
                <c:pt idx="96">
                  <c:v>8.450884511506882</c:v>
                </c:pt>
                <c:pt idx="97">
                  <c:v>8.465163774109621</c:v>
                </c:pt>
                <c:pt idx="98">
                  <c:v>8.47937651175255</c:v>
                </c:pt>
                <c:pt idx="99">
                  <c:v>8.493523743080301</c:v>
                </c:pt>
                <c:pt idx="100">
                  <c:v>8.507606469192126</c:v>
                </c:pt>
              </c:numCache>
            </c:numRef>
          </c:xVal>
          <c:yVal>
            <c:numRef>
              <c:f>'data T-s chart'!$Q$8:$Q$108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7"/>
          <c:order val="5"/>
          <c:tx>
            <c:v>v = 0.01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chart'!$R$8:$R$108</c:f>
              <c:numCache>
                <c:ptCount val="101"/>
                <c:pt idx="0">
                  <c:v>0.0003999334538499642</c:v>
                </c:pt>
                <c:pt idx="1">
                  <c:v>0.12213732394020355</c:v>
                </c:pt>
                <c:pt idx="2">
                  <c:v>0.2401714732679421</c:v>
                </c:pt>
                <c:pt idx="3">
                  <c:v>0.3549558272338481</c:v>
                </c:pt>
                <c:pt idx="4">
                  <c:v>0.46683290500704033</c:v>
                </c:pt>
                <c:pt idx="5">
                  <c:v>0.5760980126445788</c:v>
                </c:pt>
                <c:pt idx="6">
                  <c:v>0.6830270979922869</c:v>
                </c:pt>
                <c:pt idx="7">
                  <c:v>0.7878886995611393</c:v>
                </c:pt>
                <c:pt idx="8">
                  <c:v>0.8909488765760837</c:v>
                </c:pt>
                <c:pt idx="9">
                  <c:v>0.992473051202694</c:v>
                </c:pt>
                <c:pt idx="10">
                  <c:v>1.092726482997244</c:v>
                </c:pt>
                <c:pt idx="11">
                  <c:v>1.1919741209307388</c:v>
                </c:pt>
                <c:pt idx="12">
                  <c:v>1.2904801571372138</c:v>
                </c:pt>
                <c:pt idx="13">
                  <c:v>1.3885074291626764</c:v>
                </c:pt>
                <c:pt idx="14">
                  <c:v>1.486316744786235</c:v>
                </c:pt>
                <c:pt idx="15">
                  <c:v>1.584166174643282</c:v>
                </c:pt>
                <c:pt idx="16">
                  <c:v>1.6823103474909764</c:v>
                </c:pt>
                <c:pt idx="17">
                  <c:v>1.7809997804770152</c:v>
                </c:pt>
                <c:pt idx="18">
                  <c:v>1.8804802769742568</c:v>
                </c:pt>
                <c:pt idx="19">
                  <c:v>1.9809924239635757</c:v>
                </c:pt>
                <c:pt idx="20">
                  <c:v>2.0827712176281112</c:v>
                </c:pt>
                <c:pt idx="21">
                  <c:v>2.186045840099694</c:v>
                </c:pt>
                <c:pt idx="22">
                  <c:v>2.291039604783861</c:v>
                </c:pt>
                <c:pt idx="23">
                  <c:v>2.3979700856565676</c:v>
                </c:pt>
                <c:pt idx="24">
                  <c:v>2.50704944877795</c:v>
                </c:pt>
                <c:pt idx="25">
                  <c:v>2.618485009851444</c:v>
                </c:pt>
                <c:pt idx="26">
                  <c:v>2.732480045048866</c:v>
                </c:pt>
                <c:pt idx="27">
                  <c:v>2.8492348794176277</c:v>
                </c:pt>
                <c:pt idx="28">
                  <c:v>2.9689482694317695</c:v>
                </c:pt>
                <c:pt idx="29">
                  <c:v>3.091819093525542</c:v>
                </c:pt>
                <c:pt idx="30">
                  <c:v>3.2180483835208125</c:v>
                </c:pt>
                <c:pt idx="31">
                  <c:v>3.3478417883929206</c:v>
                </c:pt>
                <c:pt idx="32">
                  <c:v>3.4814126706838997</c:v>
                </c:pt>
                <c:pt idx="33">
                  <c:v>3.6189861914924473</c:v>
                </c:pt>
                <c:pt idx="34">
                  <c:v>3.7608049145944493</c:v>
                </c:pt>
                <c:pt idx="35">
                  <c:v>3.9071365937435507</c:v>
                </c:pt>
                <c:pt idx="36">
                  <c:v>4.058284834921729</c:v>
                </c:pt>
                <c:pt idx="37">
                  <c:v>4.2146033144071176</c:v>
                </c:pt>
                <c:pt idx="38">
                  <c:v>4.376514659016269</c:v>
                </c:pt>
                <c:pt idx="39">
                  <c:v>4.544537051242221</c:v>
                </c:pt>
                <c:pt idx="40">
                  <c:v>4.719326325701244</c:v>
                </c:pt>
                <c:pt idx="41">
                  <c:v>4.901747903498039</c:v>
                </c:pt>
                <c:pt idx="42">
                  <c:v>5.09299423131513</c:v>
                </c:pt>
                <c:pt idx="43">
                  <c:v>5.291487232237282</c:v>
                </c:pt>
                <c:pt idx="44">
                  <c:v>5.336182132106918</c:v>
                </c:pt>
                <c:pt idx="45">
                  <c:v>5.377657229123332</c:v>
                </c:pt>
                <c:pt idx="46">
                  <c:v>5.416815480964764</c:v>
                </c:pt>
                <c:pt idx="47">
                  <c:v>5.454081312226343</c:v>
                </c:pt>
                <c:pt idx="48">
                  <c:v>5.4896606015129334</c:v>
                </c:pt>
                <c:pt idx="49">
                  <c:v>5.523708428011644</c:v>
                </c:pt>
                <c:pt idx="50">
                  <c:v>5.556381780837038</c:v>
                </c:pt>
                <c:pt idx="51">
                  <c:v>5.5878361561457925</c:v>
                </c:pt>
                <c:pt idx="52">
                  <c:v>5.61821159626469</c:v>
                </c:pt>
                <c:pt idx="53">
                  <c:v>5.647625527007993</c:v>
                </c:pt>
                <c:pt idx="54">
                  <c:v>5.676173159004835</c:v>
                </c:pt>
                <c:pt idx="55">
                  <c:v>5.703931519733507</c:v>
                </c:pt>
                <c:pt idx="56">
                  <c:v>5.730963997367951</c:v>
                </c:pt>
                <c:pt idx="57">
                  <c:v>5.757324050126982</c:v>
                </c:pt>
                <c:pt idx="58">
                  <c:v>5.783057883772717</c:v>
                </c:pt>
                <c:pt idx="59">
                  <c:v>5.808206259095736</c:v>
                </c:pt>
                <c:pt idx="60">
                  <c:v>5.832805768929081</c:v>
                </c:pt>
                <c:pt idx="61">
                  <c:v>5.856889718818574</c:v>
                </c:pt>
                <c:pt idx="62">
                  <c:v>5.880488727333747</c:v>
                </c:pt>
                <c:pt idx="63">
                  <c:v>5.903631195691137</c:v>
                </c:pt>
                <c:pt idx="64">
                  <c:v>5.926343571152674</c:v>
                </c:pt>
                <c:pt idx="65">
                  <c:v>5.948650577442338</c:v>
                </c:pt>
                <c:pt idx="66">
                  <c:v>5.970575332093928</c:v>
                </c:pt>
                <c:pt idx="67">
                  <c:v>5.992139430247198</c:v>
                </c:pt>
                <c:pt idx="68">
                  <c:v>6.013363023861915</c:v>
                </c:pt>
                <c:pt idx="69">
                  <c:v>6.034264835239551</c:v>
                </c:pt>
                <c:pt idx="70">
                  <c:v>6.054862226522566</c:v>
                </c:pt>
                <c:pt idx="71">
                  <c:v>6.075171241094945</c:v>
                </c:pt>
                <c:pt idx="72">
                  <c:v>6.095206659003988</c:v>
                </c:pt>
                <c:pt idx="73">
                  <c:v>6.114982060522818</c:v>
                </c:pt>
                <c:pt idx="74">
                  <c:v>6.134509897361115</c:v>
                </c:pt>
                <c:pt idx="75">
                  <c:v>6.153801570133446</c:v>
                </c:pt>
                <c:pt idx="76">
                  <c:v>6.17286751016618</c:v>
                </c:pt>
                <c:pt idx="77">
                  <c:v>6.191717263340768</c:v>
                </c:pt>
                <c:pt idx="78">
                  <c:v>6.210359574169083</c:v>
                </c:pt>
                <c:pt idx="79">
                  <c:v>6.228802468041675</c:v>
                </c:pt>
                <c:pt idx="80">
                  <c:v>6.247053330116648</c:v>
                </c:pt>
                <c:pt idx="81">
                  <c:v>6.265118979607544</c:v>
                </c:pt>
                <c:pt idx="82">
                  <c:v>6.283005738580671</c:v>
                </c:pt>
                <c:pt idx="83">
                  <c:v>6.3007194947102345</c:v>
                </c:pt>
                <c:pt idx="84">
                  <c:v>6.318265757745667</c:v>
                </c:pt>
                <c:pt idx="85">
                  <c:v>6.335649709709099</c:v>
                </c:pt>
                <c:pt idx="86">
                  <c:v>6.352876249056195</c:v>
                </c:pt>
                <c:pt idx="87">
                  <c:v>6.369950029199054</c:v>
                </c:pt>
                <c:pt idx="88">
                  <c:v>6.38687549190687</c:v>
                </c:pt>
                <c:pt idx="89">
                  <c:v>6.403656896173006</c:v>
                </c:pt>
                <c:pt idx="90">
                  <c:v>6.420298343170721</c:v>
                </c:pt>
                <c:pt idx="91">
                  <c:v>6.436803797921183</c:v>
                </c:pt>
                <c:pt idx="92">
                  <c:v>6.4531771082729215</c:v>
                </c:pt>
                <c:pt idx="93">
                  <c:v>6.469422021748758</c:v>
                </c:pt>
                <c:pt idx="94">
                  <c:v>6.485542200760534</c:v>
                </c:pt>
                <c:pt idx="95">
                  <c:v>6.501541242542661</c:v>
                </c:pt>
                <c:pt idx="96">
                  <c:v>6.517422669269895</c:v>
                </c:pt>
                <c:pt idx="97">
                  <c:v>6.53318997450299</c:v>
                </c:pt>
                <c:pt idx="98">
                  <c:v>6.5488466137139385</c:v>
                </c:pt>
                <c:pt idx="99">
                  <c:v>6.564396022026496</c:v>
                </c:pt>
                <c:pt idx="100">
                  <c:v>6.579841626742536</c:v>
                </c:pt>
              </c:numCache>
            </c:numRef>
          </c:xVal>
          <c:yVal>
            <c:numRef>
              <c:f>'data T-s chart'!$S$8:$S$108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5"/>
          <c:order val="6"/>
          <c:tx>
            <c:v>v = 0.00311 m3/kg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chart'!$T$8:$T$89</c:f>
              <c:numCache>
                <c:ptCount val="82"/>
                <c:pt idx="0">
                  <c:v>9.351211006031951E-05</c:v>
                </c:pt>
                <c:pt idx="1">
                  <c:v>0.1216333333351989</c:v>
                </c:pt>
                <c:pt idx="2">
                  <c:v>0.23936973508019546</c:v>
                </c:pt>
                <c:pt idx="3">
                  <c:v>0.35371871616967016</c:v>
                </c:pt>
                <c:pt idx="4">
                  <c:v>0.4649764882574845</c:v>
                </c:pt>
                <c:pt idx="5">
                  <c:v>0.5733825753731593</c:v>
                </c:pt>
                <c:pt idx="6">
                  <c:v>0.6791473271141507</c:v>
                </c:pt>
                <c:pt idx="7">
                  <c:v>0.7824638210966895</c:v>
                </c:pt>
                <c:pt idx="8">
                  <c:v>0.8835130418907159</c:v>
                </c:pt>
                <c:pt idx="9">
                  <c:v>0.982466246159255</c:v>
                </c:pt>
                <c:pt idx="10">
                  <c:v>1.0794861955250206</c:v>
                </c:pt>
                <c:pt idx="11">
                  <c:v>1.1747279524837722</c:v>
                </c:pt>
                <c:pt idx="12">
                  <c:v>1.2683395083896187</c:v>
                </c:pt>
                <c:pt idx="13">
                  <c:v>1.360462336017951</c:v>
                </c:pt>
                <c:pt idx="14">
                  <c:v>1.4512318916933913</c:v>
                </c:pt>
                <c:pt idx="15">
                  <c:v>1.5407780702619511</c:v>
                </c:pt>
                <c:pt idx="16">
                  <c:v>1.6292256125450848</c:v>
                </c:pt>
                <c:pt idx="17">
                  <c:v>1.7166944674828415</c:v>
                </c:pt>
                <c:pt idx="18">
                  <c:v>1.8033001149446894</c:v>
                </c:pt>
                <c:pt idx="19">
                  <c:v>1.889153858038095</c:v>
                </c:pt>
                <c:pt idx="20">
                  <c:v>1.9743630949479472</c:v>
                </c:pt>
                <c:pt idx="21">
                  <c:v>2.0590315800933965</c:v>
                </c:pt>
                <c:pt idx="22">
                  <c:v>2.1432596835283024</c:v>
                </c:pt>
                <c:pt idx="23">
                  <c:v>2.227144657030236</c:v>
                </c:pt>
                <c:pt idx="24">
                  <c:v>2.310780915777338</c:v>
                </c:pt>
                <c:pt idx="25">
                  <c:v>2.3942603456781377</c:v>
                </c:pt>
                <c:pt idx="26">
                  <c:v>2.4776726475269992</c:v>
                </c:pt>
                <c:pt idx="27">
                  <c:v>2.561105729719427</c:v>
                </c:pt>
                <c:pt idx="28">
                  <c:v>2.6446461620665627</c:v>
                </c:pt>
                <c:pt idx="29">
                  <c:v>2.7283797068235787</c:v>
                </c:pt>
                <c:pt idx="30">
                  <c:v>2.8123919530509154</c:v>
                </c:pt>
                <c:pt idx="31">
                  <c:v>2.896769100093756</c:v>
                </c:pt>
                <c:pt idx="32">
                  <c:v>2.981598966251436</c:v>
                </c:pt>
                <c:pt idx="33">
                  <c:v>3.0669723362451204</c:v>
                </c:pt>
                <c:pt idx="34">
                  <c:v>3.1529847944634555</c:v>
                </c:pt>
                <c:pt idx="35">
                  <c:v>3.2397391947722864</c:v>
                </c:pt>
                <c:pt idx="36">
                  <c:v>3.327348853490264</c:v>
                </c:pt>
                <c:pt idx="37">
                  <c:v>3.4159414066198304</c:v>
                </c:pt>
                <c:pt idx="38">
                  <c:v>3.5056631837519405</c:v>
                </c:pt>
                <c:pt idx="39">
                  <c:v>3.5966844529518305</c:v>
                </c:pt>
                <c:pt idx="40">
                  <c:v>3.689208129286134</c:v>
                </c:pt>
                <c:pt idx="41">
                  <c:v>3.7834897730521635</c:v>
                </c:pt>
                <c:pt idx="42">
                  <c:v>3.8798833554769776</c:v>
                </c:pt>
                <c:pt idx="43">
                  <c:v>3.978923307719548</c:v>
                </c:pt>
                <c:pt idx="44">
                  <c:v>4.081439710891255</c:v>
                </c:pt>
                <c:pt idx="45">
                  <c:v>4.188931330798761</c:v>
                </c:pt>
                <c:pt idx="46">
                  <c:v>4.304914082003826</c:v>
                </c:pt>
                <c:pt idx="47">
                  <c:v>4.426228251931052</c:v>
                </c:pt>
                <c:pt idx="48">
                  <c:v>4.477505131711781</c:v>
                </c:pt>
                <c:pt idx="49">
                  <c:v>4.523916505804877</c:v>
                </c:pt>
                <c:pt idx="50">
                  <c:v>4.566796632392663</c:v>
                </c:pt>
                <c:pt idx="51">
                  <c:v>4.607053763811123</c:v>
                </c:pt>
                <c:pt idx="52">
                  <c:v>4.645302859515715</c:v>
                </c:pt>
                <c:pt idx="53">
                  <c:v>4.6819588132197865</c:v>
                </c:pt>
                <c:pt idx="54">
                  <c:v>4.717301516976587</c:v>
                </c:pt>
                <c:pt idx="55">
                  <c:v>4.7515209162206595</c:v>
                </c:pt>
                <c:pt idx="56">
                  <c:v>4.784747915237327</c:v>
                </c:pt>
                <c:pt idx="57">
                  <c:v>4.8170753327433875</c:v>
                </c:pt>
                <c:pt idx="58">
                  <c:v>4.848571908214587</c:v>
                </c:pt>
                <c:pt idx="59">
                  <c:v>4.879291494799919</c:v>
                </c:pt>
                <c:pt idx="60">
                  <c:v>4.909278952184709</c:v>
                </c:pt>
                <c:pt idx="61">
                  <c:v>4.9385738057924415</c:v>
                </c:pt>
                <c:pt idx="62">
                  <c:v>4.967212418709888</c:v>
                </c:pt>
                <c:pt idx="63">
                  <c:v>4.995229194430182</c:v>
                </c:pt>
                <c:pt idx="64">
                  <c:v>5.022657166350124</c:v>
                </c:pt>
                <c:pt idx="65">
                  <c:v>5.049528215377809</c:v>
                </c:pt>
                <c:pt idx="66">
                  <c:v>5.075931960233759</c:v>
                </c:pt>
                <c:pt idx="67">
                  <c:v>5.101728365966509</c:v>
                </c:pt>
                <c:pt idx="68">
                  <c:v>5.127094902709042</c:v>
                </c:pt>
                <c:pt idx="69">
                  <c:v>5.152035700087619</c:v>
                </c:pt>
                <c:pt idx="70">
                  <c:v>5.176547169263934</c:v>
                </c:pt>
                <c:pt idx="71">
                  <c:v>5.200642597779036</c:v>
                </c:pt>
                <c:pt idx="72">
                  <c:v>5.224353414237874</c:v>
                </c:pt>
                <c:pt idx="73">
                  <c:v>5.247718683456184</c:v>
                </c:pt>
                <c:pt idx="74">
                  <c:v>5.270773057094531</c:v>
                </c:pt>
                <c:pt idx="75">
                  <c:v>5.29353892122008</c:v>
                </c:pt>
                <c:pt idx="76">
                  <c:v>5.316024188269703</c:v>
                </c:pt>
                <c:pt idx="77">
                  <c:v>5.338224678401559</c:v>
                </c:pt>
                <c:pt idx="78">
                  <c:v>5.360129190490591</c:v>
                </c:pt>
                <c:pt idx="79">
                  <c:v>5.381725420529588</c:v>
                </c:pt>
                <c:pt idx="80">
                  <c:v>5.403005289349749</c:v>
                </c:pt>
                <c:pt idx="81">
                  <c:v>5.42396874497792</c:v>
                </c:pt>
              </c:numCache>
            </c:numRef>
          </c:xVal>
          <c:yVal>
            <c:numRef>
              <c:f>'data T-s chart'!$U$8:$U$89</c:f>
              <c:numCache>
                <c:ptCount val="82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</c:numCache>
            </c:numRef>
          </c:yVal>
          <c:smooth val="1"/>
        </c:ser>
        <c:ser>
          <c:idx val="9"/>
          <c:order val="7"/>
          <c:tx>
            <c:v>v = 0.002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chart'!$V$8:$V$72</c:f>
              <c:numCache>
                <c:ptCount val="65"/>
                <c:pt idx="0">
                  <c:v>4.437427294810623E-05</c:v>
                </c:pt>
                <c:pt idx="1">
                  <c:v>0.12155251322016213</c:v>
                </c:pt>
                <c:pt idx="2">
                  <c:v>0.23924116805549375</c:v>
                </c:pt>
                <c:pt idx="3">
                  <c:v>0.3535203325936128</c:v>
                </c:pt>
                <c:pt idx="4">
                  <c:v>0.4646787925985467</c:v>
                </c:pt>
                <c:pt idx="5">
                  <c:v>0.5729471268737785</c:v>
                </c:pt>
                <c:pt idx="6">
                  <c:v>0.6785251656580172</c:v>
                </c:pt>
                <c:pt idx="7">
                  <c:v>0.7815938856312192</c:v>
                </c:pt>
                <c:pt idx="8">
                  <c:v>0.8823206287609902</c:v>
                </c:pt>
                <c:pt idx="9">
                  <c:v>0.9808615512964333</c:v>
                </c:pt>
                <c:pt idx="10">
                  <c:v>1.0773629782547</c:v>
                </c:pt>
                <c:pt idx="11">
                  <c:v>1.1719623506967811</c:v>
                </c:pt>
                <c:pt idx="12">
                  <c:v>1.264789025977842</c:v>
                </c:pt>
                <c:pt idx="13">
                  <c:v>1.3559650147749231</c:v>
                </c:pt>
                <c:pt idx="14">
                  <c:v>1.4456056720082326</c:v>
                </c:pt>
                <c:pt idx="15">
                  <c:v>1.533820338208008</c:v>
                </c:pt>
                <c:pt idx="16">
                  <c:v>1.6207129253195274</c:v>
                </c:pt>
                <c:pt idx="17">
                  <c:v>1.70638244431801</c:v>
                </c:pt>
                <c:pt idx="18">
                  <c:v>1.790923476348957</c:v>
                </c:pt>
                <c:pt idx="19">
                  <c:v>1.8744265925113064</c:v>
                </c:pt>
                <c:pt idx="20">
                  <c:v>1.9569787293289658</c:v>
                </c:pt>
                <c:pt idx="21">
                  <c:v>2.038663527587882</c:v>
                </c:pt>
                <c:pt idx="22">
                  <c:v>2.1195616421017354</c:v>
                </c:pt>
                <c:pt idx="23">
                  <c:v>2.1997510297370044</c:v>
                </c:pt>
                <c:pt idx="24">
                  <c:v>2.2793072230979603</c:v>
                </c:pt>
                <c:pt idx="25">
                  <c:v>2.3583035977296256</c:v>
                </c:pt>
                <c:pt idx="26">
                  <c:v>2.436811641437907</c:v>
                </c:pt>
                <c:pt idx="27">
                  <c:v>2.5149012354434994</c:v>
                </c:pt>
                <c:pt idx="28">
                  <c:v>2.5926409592638535</c:v>
                </c:pt>
                <c:pt idx="29">
                  <c:v>2.6700984358029034</c:v>
                </c:pt>
                <c:pt idx="30">
                  <c:v>2.7473407416782654</c:v>
                </c:pt>
                <c:pt idx="31">
                  <c:v>2.8244349212493853</c:v>
                </c:pt>
                <c:pt idx="32">
                  <c:v>2.9014486604955994</c:v>
                </c:pt>
                <c:pt idx="33">
                  <c:v>2.978451195493747</c:v>
                </c:pt>
                <c:pt idx="34">
                  <c:v>3.055514540964972</c:v>
                </c:pt>
                <c:pt idx="35">
                  <c:v>3.132715107369687</c:v>
                </c:pt>
                <c:pt idx="36">
                  <c:v>3.2101356961075607</c:v>
                </c:pt>
                <c:pt idx="37">
                  <c:v>3.2878676952809682</c:v>
                </c:pt>
                <c:pt idx="38">
                  <c:v>3.3660131273582015</c:v>
                </c:pt>
                <c:pt idx="39">
                  <c:v>3.4446864687214793</c:v>
                </c:pt>
                <c:pt idx="40">
                  <c:v>3.5240180040952427</c:v>
                </c:pt>
                <c:pt idx="41">
                  <c:v>3.6041654962779597</c:v>
                </c:pt>
                <c:pt idx="42">
                  <c:v>3.685348458270499</c:v>
                </c:pt>
                <c:pt idx="43">
                  <c:v>3.7679177004012887</c:v>
                </c:pt>
                <c:pt idx="44">
                  <c:v>3.852484724879702</c:v>
                </c:pt>
                <c:pt idx="45">
                  <c:v>3.940153493707623</c:v>
                </c:pt>
                <c:pt idx="46">
                  <c:v>4.009675883870647</c:v>
                </c:pt>
                <c:pt idx="47">
                  <c:v>4.0501157547227375</c:v>
                </c:pt>
                <c:pt idx="48">
                  <c:v>4.088760558861121</c:v>
                </c:pt>
                <c:pt idx="49">
                  <c:v>4.126008416488493</c:v>
                </c:pt>
                <c:pt idx="50">
                  <c:v>4.162124926971245</c:v>
                </c:pt>
                <c:pt idx="51">
                  <c:v>4.197283146970372</c:v>
                </c:pt>
                <c:pt idx="52">
                  <c:v>4.231593964826052</c:v>
                </c:pt>
                <c:pt idx="53">
                  <c:v>4.265128403086752</c:v>
                </c:pt>
                <c:pt idx="54">
                  <c:v>4.297933448954619</c:v>
                </c:pt>
                <c:pt idx="55">
                  <c:v>4.330042881108968</c:v>
                </c:pt>
                <c:pt idx="56">
                  <c:v>4.361484347575927</c:v>
                </c:pt>
                <c:pt idx="57">
                  <c:v>4.392283717042776</c:v>
                </c:pt>
                <c:pt idx="58">
                  <c:v>4.422467507845131</c:v>
                </c:pt>
                <c:pt idx="59">
                  <c:v>4.4520640091302175</c:v>
                </c:pt>
                <c:pt idx="60">
                  <c:v>4.481103551610286</c:v>
                </c:pt>
                <c:pt idx="61">
                  <c:v>4.509618259754759</c:v>
                </c:pt>
                <c:pt idx="62">
                  <c:v>4.537641519650007</c:v>
                </c:pt>
                <c:pt idx="63">
                  <c:v>4.565207322646402</c:v>
                </c:pt>
                <c:pt idx="64">
                  <c:v>4.592349589876828</c:v>
                </c:pt>
              </c:numCache>
            </c:numRef>
          </c:xVal>
          <c:yVal>
            <c:numRef>
              <c:f>'data T-s chart'!$W$8:$W$72</c:f>
              <c:numCache>
                <c:ptCount val="65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</c:numCache>
            </c:numRef>
          </c:yVal>
          <c:smooth val="1"/>
        </c:ser>
        <c:ser>
          <c:idx val="10"/>
          <c:order val="8"/>
          <c:tx>
            <c:v>h = 1000kJ/kg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chart'!$AG$8:$AG$53</c:f>
              <c:numCache>
                <c:ptCount val="46"/>
                <c:pt idx="0">
                  <c:v>2.4818485123920895</c:v>
                </c:pt>
                <c:pt idx="1">
                  <c:v>2.5107438477472557</c:v>
                </c:pt>
                <c:pt idx="2">
                  <c:v>2.5398980846904196</c:v>
                </c:pt>
                <c:pt idx="3">
                  <c:v>2.5693466116038493</c:v>
                </c:pt>
                <c:pt idx="4">
                  <c:v>2.5991322039762035</c:v>
                </c:pt>
                <c:pt idx="5">
                  <c:v>2.6293080112045017</c:v>
                </c:pt>
                <c:pt idx="6">
                  <c:v>2.629721534482105</c:v>
                </c:pt>
                <c:pt idx="7">
                  <c:v>2.6302899129941286</c:v>
                </c:pt>
                <c:pt idx="8">
                  <c:v>2.631036196098612</c:v>
                </c:pt>
                <c:pt idx="9">
                  <c:v>2.6319881330313772</c:v>
                </c:pt>
                <c:pt idx="10">
                  <c:v>2.6331794655269767</c:v>
                </c:pt>
                <c:pt idx="11">
                  <c:v>2.6346516836672422</c:v>
                </c:pt>
                <c:pt idx="12">
                  <c:v>2.63645645573529</c:v>
                </c:pt>
                <c:pt idx="13">
                  <c:v>2.6386590624876147</c:v>
                </c:pt>
                <c:pt idx="14">
                  <c:v>2.641343369621646</c:v>
                </c:pt>
                <c:pt idx="15">
                  <c:v>2.644619231091488</c:v>
                </c:pt>
                <c:pt idx="16">
                  <c:v>2.64863387728452</c:v>
                </c:pt>
                <c:pt idx="17">
                  <c:v>2.653590124476289</c:v>
                </c:pt>
                <c:pt idx="18">
                  <c:v>2.6597768840743385</c:v>
                </c:pt>
                <c:pt idx="19">
                  <c:v>2.6676233098905113</c:v>
                </c:pt>
                <c:pt idx="20">
                  <c:v>2.6778021672634953</c:v>
                </c:pt>
                <c:pt idx="21">
                  <c:v>2.691446986273165</c:v>
                </c:pt>
                <c:pt idx="22">
                  <c:v>2.7106726568595754</c:v>
                </c:pt>
                <c:pt idx="23">
                  <c:v>2.740095162806178</c:v>
                </c:pt>
                <c:pt idx="24">
                  <c:v>2.7930515089481203</c:v>
                </c:pt>
                <c:pt idx="25">
                  <c:v>2.9516072107422398</c:v>
                </c:pt>
                <c:pt idx="26">
                  <c:v>2.9582595991380325</c:v>
                </c:pt>
                <c:pt idx="27">
                  <c:v>2.9653160884052414</c:v>
                </c:pt>
                <c:pt idx="28">
                  <c:v>2.9728244729025937</c:v>
                </c:pt>
                <c:pt idx="29">
                  <c:v>2.9808413645109244</c:v>
                </c:pt>
                <c:pt idx="30">
                  <c:v>2.989434481233216</c:v>
                </c:pt>
                <c:pt idx="31">
                  <c:v>2.9986857254594534</c:v>
                </c:pt>
                <c:pt idx="32">
                  <c:v>3.0086954018652707</c:v>
                </c:pt>
                <c:pt idx="33">
                  <c:v>3.0195881198343297</c:v>
                </c:pt>
                <c:pt idx="34">
                  <c:v>3.0315212547921586</c:v>
                </c:pt>
                <c:pt idx="35">
                  <c:v>3.0446974211858833</c:v>
                </c:pt>
                <c:pt idx="36">
                  <c:v>3.0593834702690694</c:v>
                </c:pt>
                <c:pt idx="37">
                  <c:v>3.07594057253405</c:v>
                </c:pt>
                <c:pt idx="38">
                  <c:v>3.0948741444105887</c:v>
                </c:pt>
                <c:pt idx="39">
                  <c:v>3.116921664392384</c:v>
                </c:pt>
                <c:pt idx="40">
                  <c:v>3.1432189595940345</c:v>
                </c:pt>
                <c:pt idx="41">
                  <c:v>3.1756472415835217</c:v>
                </c:pt>
                <c:pt idx="42">
                  <c:v>3.217662085423704</c:v>
                </c:pt>
                <c:pt idx="43">
                  <c:v>3.276720334000247</c:v>
                </c:pt>
                <c:pt idx="44">
                  <c:v>3.3744241955408465</c:v>
                </c:pt>
                <c:pt idx="45">
                  <c:v>3.660725839650507</c:v>
                </c:pt>
              </c:numCache>
            </c:numRef>
          </c:xVal>
          <c:yVal>
            <c:numRef>
              <c:f>'data T-s chart'!$AH$8:$AH$53</c:f>
              <c:numCache>
                <c:ptCount val="46"/>
                <c:pt idx="0">
                  <c:v>227.1897276673982</c:v>
                </c:pt>
                <c:pt idx="1">
                  <c:v>228.4956262229881</c:v>
                </c:pt>
                <c:pt idx="2">
                  <c:v>229.66662604585906</c:v>
                </c:pt>
                <c:pt idx="3">
                  <c:v>230.6783050524341</c:v>
                </c:pt>
                <c:pt idx="4">
                  <c:v>231.49842487437013</c:v>
                </c:pt>
                <c:pt idx="5">
                  <c:v>232.08288325827846</c:v>
                </c:pt>
                <c:pt idx="6">
                  <c:v>229.3251705149588</c:v>
                </c:pt>
                <c:pt idx="7">
                  <c:v>226.45539959918585</c:v>
                </c:pt>
                <c:pt idx="8">
                  <c:v>223.46238916809443</c:v>
                </c:pt>
                <c:pt idx="9">
                  <c:v>220.33310521023543</c:v>
                </c:pt>
                <c:pt idx="10">
                  <c:v>217.05221742737314</c:v>
                </c:pt>
                <c:pt idx="11">
                  <c:v>213.60151229228944</c:v>
                </c:pt>
                <c:pt idx="12">
                  <c:v>209.95910276246872</c:v>
                </c:pt>
                <c:pt idx="13">
                  <c:v>206.09834285476717</c:v>
                </c:pt>
                <c:pt idx="14">
                  <c:v>201.98630257809066</c:v>
                </c:pt>
                <c:pt idx="15">
                  <c:v>197.5815680766574</c:v>
                </c:pt>
                <c:pt idx="16">
                  <c:v>192.83096929725593</c:v>
                </c:pt>
                <c:pt idx="17">
                  <c:v>187.66453138639235</c:v>
                </c:pt>
                <c:pt idx="18">
                  <c:v>181.98733483560932</c:v>
                </c:pt>
                <c:pt idx="19">
                  <c:v>175.66565926855685</c:v>
                </c:pt>
                <c:pt idx="20">
                  <c:v>168.50171785064362</c:v>
                </c:pt>
                <c:pt idx="21">
                  <c:v>160.1832400696877</c:v>
                </c:pt>
                <c:pt idx="22">
                  <c:v>150.16954714345917</c:v>
                </c:pt>
                <c:pt idx="23">
                  <c:v>137.38183899040803</c:v>
                </c:pt>
                <c:pt idx="24">
                  <c:v>119.0491683938252</c:v>
                </c:pt>
                <c:pt idx="25">
                  <c:v>81.3167359966414</c:v>
                </c:pt>
                <c:pt idx="26">
                  <c:v>80.06029759987587</c:v>
                </c:pt>
                <c:pt idx="27">
                  <c:v>78.7478081327776</c:v>
                </c:pt>
                <c:pt idx="28">
                  <c:v>77.37342069662253</c:v>
                </c:pt>
                <c:pt idx="29">
                  <c:v>75.9302913576123</c:v>
                </c:pt>
                <c:pt idx="30">
                  <c:v>74.41033486053698</c:v>
                </c:pt>
                <c:pt idx="31">
                  <c:v>72.80389983093744</c:v>
                </c:pt>
                <c:pt idx="32">
                  <c:v>71.09932912948801</c:v>
                </c:pt>
                <c:pt idx="33">
                  <c:v>69.282352526806</c:v>
                </c:pt>
                <c:pt idx="34">
                  <c:v>67.33522797782598</c:v>
                </c:pt>
                <c:pt idx="35">
                  <c:v>65.23549425266651</c:v>
                </c:pt>
                <c:pt idx="36">
                  <c:v>62.95410089525478</c:v>
                </c:pt>
                <c:pt idx="37">
                  <c:v>60.45249745309059</c:v>
                </c:pt>
                <c:pt idx="38">
                  <c:v>57.67789240498723</c:v>
                </c:pt>
                <c:pt idx="39">
                  <c:v>54.55508542935331</c:v>
                </c:pt>
                <c:pt idx="40">
                  <c:v>50.9713575381038</c:v>
                </c:pt>
                <c:pt idx="41">
                  <c:v>46.74576854221061</c:v>
                </c:pt>
                <c:pt idx="42">
                  <c:v>41.55809621483479</c:v>
                </c:pt>
                <c:pt idx="43">
                  <c:v>34.74881161556647</c:v>
                </c:pt>
                <c:pt idx="44">
                  <c:v>24.527207806043634</c:v>
                </c:pt>
                <c:pt idx="45">
                  <c:v>0.02010000999996464</c:v>
                </c:pt>
              </c:numCache>
            </c:numRef>
          </c:yVal>
          <c:smooth val="1"/>
        </c:ser>
        <c:ser>
          <c:idx val="11"/>
          <c:order val="9"/>
          <c:tx>
            <c:v>h = 2600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chart'!$AK$8:$AK$41</c:f>
              <c:numCache>
                <c:ptCount val="34"/>
                <c:pt idx="0">
                  <c:v>4.950554118383532</c:v>
                </c:pt>
                <c:pt idx="1">
                  <c:v>4.994194471765853</c:v>
                </c:pt>
                <c:pt idx="2">
                  <c:v>5.046123332688904</c:v>
                </c:pt>
                <c:pt idx="3">
                  <c:v>5.112530644791308</c:v>
                </c:pt>
                <c:pt idx="4">
                  <c:v>5.209328816596766</c:v>
                </c:pt>
                <c:pt idx="5">
                  <c:v>5.401094236980352</c:v>
                </c:pt>
                <c:pt idx="6">
                  <c:v>5.465682003916321</c:v>
                </c:pt>
                <c:pt idx="7">
                  <c:v>5.505911531813812</c:v>
                </c:pt>
                <c:pt idx="8">
                  <c:v>5.553728991068869</c:v>
                </c:pt>
                <c:pt idx="9">
                  <c:v>5.612078120332917</c:v>
                </c:pt>
                <c:pt idx="10">
                  <c:v>5.930573865482278</c:v>
                </c:pt>
                <c:pt idx="11">
                  <c:v>6.1940158720923435</c:v>
                </c:pt>
                <c:pt idx="12">
                  <c:v>6.85677164527709</c:v>
                </c:pt>
                <c:pt idx="13">
                  <c:v>7.990928579869114</c:v>
                </c:pt>
                <c:pt idx="14">
                  <c:v>8.013547323497045</c:v>
                </c:pt>
                <c:pt idx="15">
                  <c:v>8.037366358991424</c:v>
                </c:pt>
                <c:pt idx="16">
                  <c:v>8.06248900714655</c:v>
                </c:pt>
                <c:pt idx="17">
                  <c:v>8.089066372559252</c:v>
                </c:pt>
                <c:pt idx="18">
                  <c:v>8.117277381217445</c:v>
                </c:pt>
                <c:pt idx="19">
                  <c:v>8.147336058376801</c:v>
                </c:pt>
                <c:pt idx="20">
                  <c:v>8.179501354422325</c:v>
                </c:pt>
                <c:pt idx="21">
                  <c:v>8.214090670392341</c:v>
                </c:pt>
                <c:pt idx="22">
                  <c:v>8.251498891995498</c:v>
                </c:pt>
                <c:pt idx="23">
                  <c:v>8.29222586498259</c:v>
                </c:pt>
                <c:pt idx="24">
                  <c:v>8.336917245486799</c:v>
                </c:pt>
                <c:pt idx="25">
                  <c:v>8.386427389638198</c:v>
                </c:pt>
                <c:pt idx="26">
                  <c:v>8.4419202963021</c:v>
                </c:pt>
                <c:pt idx="27">
                  <c:v>8.505040086154585</c:v>
                </c:pt>
                <c:pt idx="28">
                  <c:v>8.578217822744591</c:v>
                </c:pt>
                <c:pt idx="29">
                  <c:v>8.665270896187986</c:v>
                </c:pt>
                <c:pt idx="30">
                  <c:v>8.772710455331532</c:v>
                </c:pt>
                <c:pt idx="31">
                  <c:v>8.913081005347678</c:v>
                </c:pt>
                <c:pt idx="32">
                  <c:v>9.115918646817201</c:v>
                </c:pt>
                <c:pt idx="33">
                  <c:v>9.486700354239039</c:v>
                </c:pt>
              </c:numCache>
            </c:numRef>
          </c:xVal>
          <c:yVal>
            <c:numRef>
              <c:f>'data T-s chart'!$AL$8:$AL$41</c:f>
              <c:numCache>
                <c:ptCount val="34"/>
                <c:pt idx="0">
                  <c:v>513.9922630412699</c:v>
                </c:pt>
                <c:pt idx="1">
                  <c:v>494.64080049591973</c:v>
                </c:pt>
                <c:pt idx="2">
                  <c:v>468.9843231172737</c:v>
                </c:pt>
                <c:pt idx="3">
                  <c:v>433.59640649830703</c:v>
                </c:pt>
                <c:pt idx="4">
                  <c:v>381.99244343063924</c:v>
                </c:pt>
                <c:pt idx="5">
                  <c:v>310.99948799852825</c:v>
                </c:pt>
                <c:pt idx="6">
                  <c:v>295.0091212293113</c:v>
                </c:pt>
                <c:pt idx="7">
                  <c:v>285.8300228057516</c:v>
                </c:pt>
                <c:pt idx="8">
                  <c:v>275.5864107560508</c:v>
                </c:pt>
                <c:pt idx="9">
                  <c:v>263.9428711863302</c:v>
                </c:pt>
                <c:pt idx="10">
                  <c:v>212.38453531849052</c:v>
                </c:pt>
                <c:pt idx="11">
                  <c:v>179.88563239146663</c:v>
                </c:pt>
                <c:pt idx="12">
                  <c:v>120.21154593648885</c:v>
                </c:pt>
                <c:pt idx="13">
                  <c:v>54.937399089743565</c:v>
                </c:pt>
                <c:pt idx="14">
                  <c:v>54.83229976177404</c:v>
                </c:pt>
                <c:pt idx="15">
                  <c:v>54.731546757069054</c:v>
                </c:pt>
                <c:pt idx="16">
                  <c:v>54.6308579923363</c:v>
                </c:pt>
                <c:pt idx="17">
                  <c:v>54.530231900258855</c:v>
                </c:pt>
                <c:pt idx="18">
                  <c:v>54.42966690948708</c:v>
                </c:pt>
                <c:pt idx="19">
                  <c:v>54.32916144463388</c:v>
                </c:pt>
                <c:pt idx="20">
                  <c:v>54.22871392627104</c:v>
                </c:pt>
                <c:pt idx="21">
                  <c:v>54.128322770924626</c:v>
                </c:pt>
                <c:pt idx="22">
                  <c:v>54.027986391070726</c:v>
                </c:pt>
                <c:pt idx="23">
                  <c:v>53.927703195131755</c:v>
                </c:pt>
                <c:pt idx="24">
                  <c:v>53.82747158747162</c:v>
                </c:pt>
                <c:pt idx="25">
                  <c:v>53.72728996839294</c:v>
                </c:pt>
                <c:pt idx="26">
                  <c:v>53.62715673413038</c:v>
                </c:pt>
                <c:pt idx="27">
                  <c:v>53.52707027684886</c:v>
                </c:pt>
                <c:pt idx="28">
                  <c:v>53.42702898463796</c:v>
                </c:pt>
                <c:pt idx="29">
                  <c:v>53.327031241508564</c:v>
                </c:pt>
                <c:pt idx="30">
                  <c:v>53.227075427387945</c:v>
                </c:pt>
                <c:pt idx="31">
                  <c:v>53.12715991811581</c:v>
                </c:pt>
                <c:pt idx="32">
                  <c:v>53.02728308544067</c:v>
                </c:pt>
                <c:pt idx="33">
                  <c:v>52.92744329701492</c:v>
                </c:pt>
              </c:numCache>
            </c:numRef>
          </c:yVal>
          <c:smooth val="1"/>
        </c:ser>
        <c:ser>
          <c:idx val="12"/>
          <c:order val="10"/>
          <c:tx>
            <c:v>h = 3000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chart'!$AO$8:$AO$53</c:f>
              <c:numCache>
                <c:ptCount val="46"/>
                <c:pt idx="0">
                  <c:v>5.439421854486604</c:v>
                </c:pt>
                <c:pt idx="1">
                  <c:v>5.452499341026543</c:v>
                </c:pt>
                <c:pt idx="2">
                  <c:v>5.466143737140844</c:v>
                </c:pt>
                <c:pt idx="3">
                  <c:v>5.480410731052344</c:v>
                </c:pt>
                <c:pt idx="4">
                  <c:v>5.495364744095743</c:v>
                </c:pt>
                <c:pt idx="5">
                  <c:v>5.5110815188201</c:v>
                </c:pt>
                <c:pt idx="6">
                  <c:v>5.527651446988696</c:v>
                </c:pt>
                <c:pt idx="7">
                  <c:v>5.545183837085323</c:v>
                </c:pt>
                <c:pt idx="8">
                  <c:v>5.563812390373165</c:v>
                </c:pt>
                <c:pt idx="9">
                  <c:v>5.583702260169402</c:v>
                </c:pt>
                <c:pt idx="10">
                  <c:v>5.605059239214977</c:v>
                </c:pt>
                <c:pt idx="11">
                  <c:v>5.628141909921407</c:v>
                </c:pt>
                <c:pt idx="12">
                  <c:v>5.653278109862551</c:v>
                </c:pt>
                <c:pt idx="13">
                  <c:v>5.680888023719006</c:v>
                </c:pt>
                <c:pt idx="14">
                  <c:v>5.71151803929907</c:v>
                </c:pt>
                <c:pt idx="15">
                  <c:v>5.745893062576216</c:v>
                </c:pt>
                <c:pt idx="16">
                  <c:v>5.785002068596371</c:v>
                </c:pt>
                <c:pt idx="17">
                  <c:v>5.8300699645412175</c:v>
                </c:pt>
                <c:pt idx="18">
                  <c:v>5.883290895825147</c:v>
                </c:pt>
                <c:pt idx="19">
                  <c:v>5.947840855172226</c:v>
                </c:pt>
                <c:pt idx="20">
                  <c:v>6.0292624798489785</c:v>
                </c:pt>
                <c:pt idx="21">
                  <c:v>6.044443040838224</c:v>
                </c:pt>
                <c:pt idx="22">
                  <c:v>6.060362029391246</c:v>
                </c:pt>
                <c:pt idx="23">
                  <c:v>6.077088173361301</c:v>
                </c:pt>
                <c:pt idx="24">
                  <c:v>6.09469996863477</c:v>
                </c:pt>
                <c:pt idx="25">
                  <c:v>6.113287634050237</c:v>
                </c:pt>
                <c:pt idx="26">
                  <c:v>6.132955572584931</c:v>
                </c:pt>
                <c:pt idx="27">
                  <c:v>6.153825501667124</c:v>
                </c:pt>
                <c:pt idx="28">
                  <c:v>6.176040480238527</c:v>
                </c:pt>
                <c:pt idx="29">
                  <c:v>6.199770156308696</c:v>
                </c:pt>
                <c:pt idx="30">
                  <c:v>6.225217704444711</c:v>
                </c:pt>
                <c:pt idx="31">
                  <c:v>6.252629148777854</c:v>
                </c:pt>
                <c:pt idx="32">
                  <c:v>6.282306127509771</c:v>
                </c:pt>
                <c:pt idx="33">
                  <c:v>6.314623746707743</c:v>
                </c:pt>
                <c:pt idx="34">
                  <c:v>6.350056176600661</c:v>
                </c:pt>
                <c:pt idx="35">
                  <c:v>6.389214419736558</c:v>
                </c:pt>
                <c:pt idx="36">
                  <c:v>6.432867837847468</c:v>
                </c:pt>
                <c:pt idx="37">
                  <c:v>6.482142874769506</c:v>
                </c:pt>
                <c:pt idx="38">
                  <c:v>6.538550424077442</c:v>
                </c:pt>
                <c:pt idx="39">
                  <c:v>6.604340786451486</c:v>
                </c:pt>
                <c:pt idx="40">
                  <c:v>6.682986204585661</c:v>
                </c:pt>
                <c:pt idx="41">
                  <c:v>6.780309656532409</c:v>
                </c:pt>
                <c:pt idx="42">
                  <c:v>6.9072393269875505</c:v>
                </c:pt>
                <c:pt idx="43">
                  <c:v>7.088312712000497</c:v>
                </c:pt>
                <c:pt idx="44">
                  <c:v>7.4017748647843264</c:v>
                </c:pt>
                <c:pt idx="45">
                  <c:v>10.433158425774078</c:v>
                </c:pt>
              </c:numCache>
            </c:numRef>
          </c:xVal>
          <c:yVal>
            <c:numRef>
              <c:f>'data T-s chart'!$AP$8:$AP$53</c:f>
              <c:numCache>
                <c:ptCount val="46"/>
                <c:pt idx="0">
                  <c:v>579.8707422807048</c:v>
                </c:pt>
                <c:pt idx="1">
                  <c:v>574.6796838087822</c:v>
                </c:pt>
                <c:pt idx="2">
                  <c:v>569.2136078185512</c:v>
                </c:pt>
                <c:pt idx="3">
                  <c:v>563.452181352669</c:v>
                </c:pt>
                <c:pt idx="4">
                  <c:v>557.3728557007431</c:v>
                </c:pt>
                <c:pt idx="5">
                  <c:v>550.9505413325093</c:v>
                </c:pt>
                <c:pt idx="6">
                  <c:v>544.1572140623167</c:v>
                </c:pt>
                <c:pt idx="7">
                  <c:v>536.9614323814234</c:v>
                </c:pt>
                <c:pt idx="8">
                  <c:v>529.3277384423194</c:v>
                </c:pt>
                <c:pt idx="9">
                  <c:v>521.2159045149717</c:v>
                </c:pt>
                <c:pt idx="10">
                  <c:v>512.5799713521226</c:v>
                </c:pt>
                <c:pt idx="11">
                  <c:v>503.36700254938796</c:v>
                </c:pt>
                <c:pt idx="12">
                  <c:v>493.51544627392104</c:v>
                </c:pt>
                <c:pt idx="13">
                  <c:v>482.9529474435153</c:v>
                </c:pt>
                <c:pt idx="14">
                  <c:v>471.59338115928836</c:v>
                </c:pt>
                <c:pt idx="15">
                  <c:v>459.3327670860152</c:v>
                </c:pt>
                <c:pt idx="16">
                  <c:v>446.04354406708785</c:v>
                </c:pt>
                <c:pt idx="17">
                  <c:v>431.53779256180474</c:v>
                </c:pt>
                <c:pt idx="18">
                  <c:v>415.6281433191733</c:v>
                </c:pt>
                <c:pt idx="19">
                  <c:v>398.0253649281169</c:v>
                </c:pt>
                <c:pt idx="20">
                  <c:v>378.3448246117139</c:v>
                </c:pt>
                <c:pt idx="21">
                  <c:v>374.96888517218474</c:v>
                </c:pt>
                <c:pt idx="22">
                  <c:v>371.5228588863383</c:v>
                </c:pt>
                <c:pt idx="23">
                  <c:v>368.0035704787641</c:v>
                </c:pt>
                <c:pt idx="24">
                  <c:v>364.4076000510395</c:v>
                </c:pt>
                <c:pt idx="25">
                  <c:v>360.73126386461627</c:v>
                </c:pt>
                <c:pt idx="26">
                  <c:v>356.97059425501357</c:v>
                </c:pt>
                <c:pt idx="27">
                  <c:v>353.1213186702138</c:v>
                </c:pt>
                <c:pt idx="28">
                  <c:v>349.17883782766694</c:v>
                </c:pt>
                <c:pt idx="29">
                  <c:v>345.13820298567475</c:v>
                </c:pt>
                <c:pt idx="30">
                  <c:v>340.9940923262782</c:v>
                </c:pt>
                <c:pt idx="31">
                  <c:v>336.7407864479525</c:v>
                </c:pt>
                <c:pt idx="32">
                  <c:v>332.3721429675694</c:v>
                </c:pt>
                <c:pt idx="33">
                  <c:v>327.88157023211636</c:v>
                </c:pt>
                <c:pt idx="34">
                  <c:v>323.26200014160247</c:v>
                </c:pt>
                <c:pt idx="35">
                  <c:v>318.50586008545736</c:v>
                </c:pt>
                <c:pt idx="36">
                  <c:v>313.5971724798251</c:v>
                </c:pt>
                <c:pt idx="37">
                  <c:v>308.53455340915934</c:v>
                </c:pt>
                <c:pt idx="38">
                  <c:v>303.30416919932236</c:v>
                </c:pt>
                <c:pt idx="39">
                  <c:v>297.8977318169648</c:v>
                </c:pt>
                <c:pt idx="40">
                  <c:v>292.30379723007377</c:v>
                </c:pt>
                <c:pt idx="41">
                  <c:v>286.51141112132973</c:v>
                </c:pt>
                <c:pt idx="42">
                  <c:v>280.51250600882975</c:v>
                </c:pt>
                <c:pt idx="43">
                  <c:v>274.30367942178816</c:v>
                </c:pt>
                <c:pt idx="44">
                  <c:v>267.88798277880653</c:v>
                </c:pt>
                <c:pt idx="45">
                  <c:v>261.27735061630676</c:v>
                </c:pt>
              </c:numCache>
            </c:numRef>
          </c:yVal>
          <c:smooth val="1"/>
        </c:ser>
        <c:ser>
          <c:idx val="13"/>
          <c:order val="11"/>
          <c:tx>
            <c:v>h = 3600 kJ/kg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chart'!$AS$8:$AS$53</c:f>
              <c:numCache>
                <c:ptCount val="46"/>
                <c:pt idx="0">
                  <c:v>6.0927309037591</c:v>
                </c:pt>
                <c:pt idx="1">
                  <c:v>6.109361019067777</c:v>
                </c:pt>
                <c:pt idx="2">
                  <c:v>6.1267495909736915</c:v>
                </c:pt>
                <c:pt idx="3">
                  <c:v>6.144973494560577</c:v>
                </c:pt>
                <c:pt idx="4">
                  <c:v>6.164121609302143</c:v>
                </c:pt>
                <c:pt idx="5">
                  <c:v>6.184297241652427</c:v>
                </c:pt>
                <c:pt idx="6">
                  <c:v>6.205621176811062</c:v>
                </c:pt>
                <c:pt idx="7">
                  <c:v>6.228235586442899</c:v>
                </c:pt>
                <c:pt idx="8">
                  <c:v>6.252309117615283</c:v>
                </c:pt>
                <c:pt idx="9">
                  <c:v>6.278043636914639</c:v>
                </c:pt>
                <c:pt idx="10">
                  <c:v>6.305683333778637</c:v>
                </c:pt>
                <c:pt idx="11">
                  <c:v>6.335527252867807</c:v>
                </c:pt>
                <c:pt idx="12">
                  <c:v>6.367946924795037</c:v>
                </c:pt>
                <c:pt idx="13">
                  <c:v>6.403411781349519</c:v>
                </c:pt>
                <c:pt idx="14">
                  <c:v>6.442526834939682</c:v>
                </c:pt>
                <c:pt idx="15">
                  <c:v>6.486090412602928</c:v>
                </c:pt>
                <c:pt idx="16">
                  <c:v>6.535186180670888</c:v>
                </c:pt>
                <c:pt idx="17">
                  <c:v>6.59133707414338</c:v>
                </c:pt>
                <c:pt idx="18">
                  <c:v>6.656778769430582</c:v>
                </c:pt>
                <c:pt idx="19">
                  <c:v>6.734984693238132</c:v>
                </c:pt>
                <c:pt idx="20">
                  <c:v>6.831783939234154</c:v>
                </c:pt>
                <c:pt idx="21">
                  <c:v>6.849610005923925</c:v>
                </c:pt>
                <c:pt idx="22">
                  <c:v>6.868231458805968</c:v>
                </c:pt>
                <c:pt idx="23">
                  <c:v>6.887719604794979</c:v>
                </c:pt>
                <c:pt idx="24">
                  <c:v>6.9081557131959315</c:v>
                </c:pt>
                <c:pt idx="25">
                  <c:v>6.9296329605618405</c:v>
                </c:pt>
                <c:pt idx="26">
                  <c:v>6.952258874670228</c:v>
                </c:pt>
                <c:pt idx="27">
                  <c:v>6.976158439709556</c:v>
                </c:pt>
                <c:pt idx="28">
                  <c:v>7.0014780897159365</c:v>
                </c:pt>
                <c:pt idx="29">
                  <c:v>7.0283909138081855</c:v>
                </c:pt>
                <c:pt idx="30">
                  <c:v>7.057103543208475</c:v>
                </c:pt>
                <c:pt idx="31">
                  <c:v>7.087865417491716</c:v>
                </c:pt>
                <c:pt idx="32">
                  <c:v>7.12098149017453</c:v>
                </c:pt>
                <c:pt idx="33">
                  <c:v>7.15683002936914</c:v>
                </c:pt>
                <c:pt idx="34">
                  <c:v>7.195888180925803</c:v>
                </c:pt>
                <c:pt idx="35">
                  <c:v>7.2387697478250566</c:v>
                </c:pt>
                <c:pt idx="36">
                  <c:v>7.286267252357036</c:v>
                </c:pt>
                <c:pt idx="37">
                  <c:v>7.339495093638192</c:v>
                </c:pt>
                <c:pt idx="38">
                  <c:v>7.399978500028443</c:v>
                </c:pt>
                <c:pt idx="39">
                  <c:v>7.469964865901984</c:v>
                </c:pt>
                <c:pt idx="40">
                  <c:v>7.552937792204667</c:v>
                </c:pt>
                <c:pt idx="41">
                  <c:v>7.654732189683573</c:v>
                </c:pt>
                <c:pt idx="42">
                  <c:v>7.786283882775178</c:v>
                </c:pt>
                <c:pt idx="43">
                  <c:v>7.972135345529322</c:v>
                </c:pt>
                <c:pt idx="44">
                  <c:v>8.290540341978827</c:v>
                </c:pt>
                <c:pt idx="45">
                  <c:v>11.3270539379592</c:v>
                </c:pt>
              </c:numCache>
            </c:numRef>
          </c:xVal>
          <c:yVal>
            <c:numRef>
              <c:f>'data T-s chart'!$AT$8:$AT$53</c:f>
              <c:numCache>
                <c:ptCount val="46"/>
                <c:pt idx="0">
                  <c:v>724.2774946875965</c:v>
                </c:pt>
                <c:pt idx="1">
                  <c:v>719.798925827128</c:v>
                </c:pt>
                <c:pt idx="2">
                  <c:v>715.1585720595924</c:v>
                </c:pt>
                <c:pt idx="3">
                  <c:v>710.348852532611</c:v>
                </c:pt>
                <c:pt idx="4">
                  <c:v>705.3618176198228</c:v>
                </c:pt>
                <c:pt idx="5">
                  <c:v>700.1891432344598</c:v>
                </c:pt>
                <c:pt idx="6">
                  <c:v>694.8221178359993</c:v>
                </c:pt>
                <c:pt idx="7">
                  <c:v>689.2516210667585</c:v>
                </c:pt>
                <c:pt idx="8">
                  <c:v>683.4680931206225</c:v>
                </c:pt>
                <c:pt idx="9">
                  <c:v>677.4614941029369</c:v>
                </c:pt>
                <c:pt idx="10">
                  <c:v>671.221252788777</c:v>
                </c:pt>
                <c:pt idx="11">
                  <c:v>664.7362043264704</c:v>
                </c:pt>
                <c:pt idx="12">
                  <c:v>657.9945165642865</c:v>
                </c:pt>
                <c:pt idx="13">
                  <c:v>650.9836048006958</c:v>
                </c:pt>
                <c:pt idx="14">
                  <c:v>643.6900348724872</c:v>
                </c:pt>
                <c:pt idx="15">
                  <c:v>636.0994146003635</c:v>
                </c:pt>
                <c:pt idx="16">
                  <c:v>628.1962737083561</c:v>
                </c:pt>
                <c:pt idx="17">
                  <c:v>619.9639324215658</c:v>
                </c:pt>
                <c:pt idx="18">
                  <c:v>611.3843590263158</c:v>
                </c:pt>
                <c:pt idx="19">
                  <c:v>602.4380167477979</c:v>
                </c:pt>
                <c:pt idx="20">
                  <c:v>593.1037003626972</c:v>
                </c:pt>
                <c:pt idx="21">
                  <c:v>591.5727785205983</c:v>
                </c:pt>
                <c:pt idx="22">
                  <c:v>590.0312409092187</c:v>
                </c:pt>
                <c:pt idx="23">
                  <c:v>588.4789871786256</c:v>
                </c:pt>
                <c:pt idx="24">
                  <c:v>586.9159156141048</c:v>
                </c:pt>
                <c:pt idx="25">
                  <c:v>585.3419231161968</c:v>
                </c:pt>
                <c:pt idx="26">
                  <c:v>583.756905180588</c:v>
                </c:pt>
                <c:pt idx="27">
                  <c:v>582.1607558778666</c:v>
                </c:pt>
                <c:pt idx="28">
                  <c:v>580.553367833135</c:v>
                </c:pt>
                <c:pt idx="29">
                  <c:v>578.934632205488</c:v>
                </c:pt>
                <c:pt idx="30">
                  <c:v>577.304438667354</c:v>
                </c:pt>
                <c:pt idx="31">
                  <c:v>575.662675383705</c:v>
                </c:pt>
                <c:pt idx="32">
                  <c:v>574.0092289911297</c:v>
                </c:pt>
                <c:pt idx="33">
                  <c:v>572.3439845767821</c:v>
                </c:pt>
                <c:pt idx="34">
                  <c:v>570.6668256571946</c:v>
                </c:pt>
                <c:pt idx="35">
                  <c:v>568.97763415697</c:v>
                </c:pt>
                <c:pt idx="36">
                  <c:v>567.2705332842056</c:v>
                </c:pt>
                <c:pt idx="37">
                  <c:v>565.5526612316253</c:v>
                </c:pt>
                <c:pt idx="38">
                  <c:v>563.8205217971492</c:v>
                </c:pt>
                <c:pt idx="39">
                  <c:v>562.0741099536834</c:v>
                </c:pt>
                <c:pt idx="40">
                  <c:v>560.3134213444586</c:v>
                </c:pt>
                <c:pt idx="41">
                  <c:v>558.5384522830833</c:v>
                </c:pt>
                <c:pt idx="42">
                  <c:v>556.7491997535753</c:v>
                </c:pt>
                <c:pt idx="43">
                  <c:v>554.9456614103868</c:v>
                </c:pt>
                <c:pt idx="44">
                  <c:v>553.1278355784174</c:v>
                </c:pt>
                <c:pt idx="45">
                  <c:v>551.2957212530227</c:v>
                </c:pt>
              </c:numCache>
            </c:numRef>
          </c:yVal>
          <c:smooth val="1"/>
        </c:ser>
        <c:ser>
          <c:idx val="14"/>
          <c:order val="12"/>
          <c:tx>
            <c:v>q = 0.25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chart'!$Y$8:$Y$108</c:f>
              <c:numCache>
                <c:ptCount val="101"/>
                <c:pt idx="0">
                  <c:v>2.2888728222752595</c:v>
                </c:pt>
                <c:pt idx="1">
                  <c:v>2.307228805156444</c:v>
                </c:pt>
                <c:pt idx="2">
                  <c:v>2.3257457057402515</c:v>
                </c:pt>
                <c:pt idx="3">
                  <c:v>2.3444302401342956</c:v>
                </c:pt>
                <c:pt idx="4">
                  <c:v>2.36328200496803</c:v>
                </c:pt>
                <c:pt idx="5">
                  <c:v>2.3822961550312867</c:v>
                </c:pt>
                <c:pt idx="6">
                  <c:v>2.4014651848095077</c:v>
                </c:pt>
                <c:pt idx="7">
                  <c:v>2.4207801010408474</c:v>
                </c:pt>
                <c:pt idx="8">
                  <c:v>2.4402311832181582</c:v>
                </c:pt>
                <c:pt idx="9">
                  <c:v>2.459808467058476</c:v>
                </c:pt>
                <c:pt idx="10">
                  <c:v>2.4795020433605455</c:v>
                </c:pt>
                <c:pt idx="11">
                  <c:v>2.4993022352852012</c:v>
                </c:pt>
                <c:pt idx="12">
                  <c:v>2.519199696799703</c:v>
                </c:pt>
                <c:pt idx="13">
                  <c:v>2.539185461018671</c:v>
                </c:pt>
                <c:pt idx="14">
                  <c:v>2.559250957530312</c:v>
                </c:pt>
                <c:pt idx="15">
                  <c:v>2.5793880111968006</c:v>
                </c:pt>
                <c:pt idx="16">
                  <c:v>2.5995888304462027</c:v>
                </c:pt>
                <c:pt idx="17">
                  <c:v>2.619845990091519</c:v>
                </c:pt>
                <c:pt idx="18">
                  <c:v>2.6401524117689226</c:v>
                </c:pt>
                <c:pt idx="19">
                  <c:v>2.660501343861074</c:v>
                </c:pt>
                <c:pt idx="20">
                  <c:v>2.6808863420316347</c:v>
                </c:pt>
                <c:pt idx="21">
                  <c:v>2.7013012510755576</c:v>
                </c:pt>
                <c:pt idx="22">
                  <c:v>2.7217401885651227</c:v>
                </c:pt>
                <c:pt idx="23">
                  <c:v>2.742197530655098</c:v>
                </c:pt>
                <c:pt idx="24">
                  <c:v>2.762667900340129</c:v>
                </c:pt>
                <c:pt idx="25">
                  <c:v>2.783146158391363</c:v>
                </c:pt>
                <c:pt idx="26">
                  <c:v>2.8036273971128267</c:v>
                </c:pt>
                <c:pt idx="27">
                  <c:v>2.8241069369405896</c:v>
                </c:pt>
                <c:pt idx="28">
                  <c:v>2.8445803257603304</c:v>
                </c:pt>
                <c:pt idx="29">
                  <c:v>2.8650433406515434</c:v>
                </c:pt>
                <c:pt idx="30">
                  <c:v>2.885491991595814</c:v>
                </c:pt>
                <c:pt idx="31">
                  <c:v>2.905922526532149</c:v>
                </c:pt>
                <c:pt idx="32">
                  <c:v>2.9263314370236473</c:v>
                </c:pt>
                <c:pt idx="33">
                  <c:v>2.9467154637345816</c:v>
                </c:pt>
                <c:pt idx="34">
                  <c:v>2.9670716009163285</c:v>
                </c:pt>
                <c:pt idx="35">
                  <c:v>2.987397099169554</c:v>
                </c:pt>
                <c:pt idx="36">
                  <c:v>3.0076894658853903</c:v>
                </c:pt>
                <c:pt idx="37">
                  <c:v>3.027946462958724</c:v>
                </c:pt>
                <c:pt idx="38">
                  <c:v>3.0481661015950268</c:v>
                </c:pt>
                <c:pt idx="39">
                  <c:v>3.068346634275937</c:v>
                </c:pt>
                <c:pt idx="40">
                  <c:v>3.0884865441843963</c:v>
                </c:pt>
                <c:pt idx="41">
                  <c:v>3.1085845325944703</c:v>
                </c:pt>
                <c:pt idx="42">
                  <c:v>3.128639504884485</c:v>
                </c:pt>
                <c:pt idx="43">
                  <c:v>3.148650555921418</c:v>
                </c:pt>
                <c:pt idx="44">
                  <c:v>3.1686169555831545</c:v>
                </c:pt>
                <c:pt idx="45">
                  <c:v>3.1885381351347784</c:v>
                </c:pt>
                <c:pt idx="46">
                  <c:v>3.208413675064598</c:v>
                </c:pt>
                <c:pt idx="47">
                  <c:v>3.2282432948302064</c:v>
                </c:pt>
                <c:pt idx="48">
                  <c:v>3.2480268447840865</c:v>
                </c:pt>
                <c:pt idx="49">
                  <c:v>3.2677643003633623</c:v>
                </c:pt>
                <c:pt idx="50">
                  <c:v>3.287455758460138</c:v>
                </c:pt>
                <c:pt idx="51">
                  <c:v>3.3071014357546957</c:v>
                </c:pt>
                <c:pt idx="52">
                  <c:v>3.326701668706484</c:v>
                </c:pt>
                <c:pt idx="53">
                  <c:v>3.3462569148630177</c:v>
                </c:pt>
                <c:pt idx="54">
                  <c:v>3.365767755163558</c:v>
                </c:pt>
                <c:pt idx="55">
                  <c:v>3.3852348969748607</c:v>
                </c:pt>
                <c:pt idx="56">
                  <c:v>3.4046591776869772</c:v>
                </c:pt>
                <c:pt idx="57">
                  <c:v>3.42404156880112</c:v>
                </c:pt>
                <c:pt idx="58">
                  <c:v>3.443383180540904</c:v>
                </c:pt>
                <c:pt idx="59">
                  <c:v>3.4626852670966963</c:v>
                </c:pt>
                <c:pt idx="60">
                  <c:v>3.4819492326582653</c:v>
                </c:pt>
                <c:pt idx="61">
                  <c:v>3.501176638398121</c:v>
                </c:pt>
                <c:pt idx="62">
                  <c:v>3.520369210538599</c:v>
                </c:pt>
                <c:pt idx="63">
                  <c:v>3.5395288495796104</c:v>
                </c:pt>
                <c:pt idx="64">
                  <c:v>3.558657640696963</c:v>
                </c:pt>
                <c:pt idx="65">
                  <c:v>3.5777578652639344</c:v>
                </c:pt>
                <c:pt idx="66">
                  <c:v>3.5968320134242453</c:v>
                </c:pt>
                <c:pt idx="67">
                  <c:v>3.615882797675871</c:v>
                </c:pt>
                <c:pt idx="68">
                  <c:v>3.6349131675330706</c:v>
                </c:pt>
                <c:pt idx="69">
                  <c:v>3.653926325535437</c:v>
                </c:pt>
                <c:pt idx="70">
                  <c:v>3.6729257451769444</c:v>
                </c:pt>
                <c:pt idx="71">
                  <c:v>3.6919151917317494</c:v>
                </c:pt>
                <c:pt idx="72">
                  <c:v>3.7108987474324646</c:v>
                </c:pt>
                <c:pt idx="73">
                  <c:v>3.729880842953736</c:v>
                </c:pt>
                <c:pt idx="74">
                  <c:v>3.74886629756684</c:v>
                </c:pt>
                <c:pt idx="75">
                  <c:v>3.767860370504261</c:v>
                </c:pt>
                <c:pt idx="76">
                  <c:v>3.786868825806385</c:v>
                </c:pt>
                <c:pt idx="77">
                  <c:v>3.805898012008239</c:v>
                </c:pt>
                <c:pt idx="78">
                  <c:v>3.824954956333027</c:v>
                </c:pt>
                <c:pt idx="79">
                  <c:v>3.844047470687795</c:v>
                </c:pt>
                <c:pt idx="80">
                  <c:v>3.863184264245136</c:v>
                </c:pt>
                <c:pt idx="81">
                  <c:v>3.8823750560022687</c:v>
                </c:pt>
                <c:pt idx="82">
                  <c:v>3.901630682702125</c:v>
                </c:pt>
                <c:pt idx="83">
                  <c:v>3.9209632063678455</c:v>
                </c:pt>
                <c:pt idx="84">
                  <c:v>3.9403860461306355</c:v>
                </c:pt>
                <c:pt idx="85">
                  <c:v>3.9599141964272153</c:v>
                </c:pt>
                <c:pt idx="86">
                  <c:v>3.9795646528630737</c:v>
                </c:pt>
                <c:pt idx="87">
                  <c:v>3.999357249956555</c:v>
                </c:pt>
                <c:pt idx="88">
                  <c:v>4.019316216489148</c:v>
                </c:pt>
                <c:pt idx="89">
                  <c:v>4.0394728563349585</c:v>
                </c:pt>
                <c:pt idx="90">
                  <c:v>4.059869826903048</c:v>
                </c:pt>
                <c:pt idx="91">
                  <c:v>4.080567445630467</c:v>
                </c:pt>
                <c:pt idx="92">
                  <c:v>4.101652200959026</c:v>
                </c:pt>
                <c:pt idx="93">
                  <c:v>4.1232470270658155</c:v>
                </c:pt>
                <c:pt idx="94">
                  <c:v>4.145589607376736</c:v>
                </c:pt>
                <c:pt idx="95">
                  <c:v>4.168864682632665</c:v>
                </c:pt>
                <c:pt idx="96">
                  <c:v>4.193483477997971</c:v>
                </c:pt>
                <c:pt idx="97">
                  <c:v>4.220120088057449</c:v>
                </c:pt>
                <c:pt idx="98">
                  <c:v>4.250207043203996</c:v>
                </c:pt>
                <c:pt idx="99">
                  <c:v>4.28800031496988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chart'!$Z$8:$Z$108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15"/>
          <c:order val="13"/>
          <c:tx>
            <c:v>q = 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'data T-s chart'!$AA$8:$AA$108</c:f>
              <c:numCache>
                <c:ptCount val="101"/>
                <c:pt idx="0">
                  <c:v>4.577745706006328</c:v>
                </c:pt>
                <c:pt idx="1">
                  <c:v>4.557163972085107</c:v>
                </c:pt>
                <c:pt idx="2">
                  <c:v>4.537804003449777</c:v>
                </c:pt>
                <c:pt idx="3">
                  <c:v>4.519620573227737</c:v>
                </c:pt>
                <c:pt idx="4">
                  <c:v>4.50256649634855</c:v>
                </c:pt>
                <c:pt idx="5">
                  <c:v>4.48659422024376</c:v>
                </c:pt>
                <c:pt idx="6">
                  <c:v>4.471656820792645</c:v>
                </c:pt>
                <c:pt idx="7">
                  <c:v>4.457708599664864</c:v>
                </c:pt>
                <c:pt idx="8">
                  <c:v>4.444705417681332</c:v>
                </c:pt>
                <c:pt idx="9">
                  <c:v>4.432604856365427</c:v>
                </c:pt>
                <c:pt idx="10">
                  <c:v>4.421366270444371</c:v>
                </c:pt>
                <c:pt idx="11">
                  <c:v>4.410950773618042</c:v>
                </c:pt>
                <c:pt idx="12">
                  <c:v>4.401321185690915</c:v>
                </c:pt>
                <c:pt idx="13">
                  <c:v>4.392441959296098</c:v>
                </c:pt>
                <c:pt idx="14">
                  <c:v>4.384279097649905</c:v>
                </c:pt>
                <c:pt idx="15">
                  <c:v>4.376800070176024</c:v>
                </c:pt>
                <c:pt idx="16">
                  <c:v>4.369973729806837</c:v>
                </c:pt>
                <c:pt idx="17">
                  <c:v>4.363770233859429</c:v>
                </c:pt>
                <c:pt idx="18">
                  <c:v>4.358160969267516</c:v>
                </c:pt>
                <c:pt idx="19">
                  <c:v>4.353118482382675</c:v>
                </c:pt>
                <c:pt idx="20">
                  <c:v>4.348616413351916</c:v>
                </c:pt>
                <c:pt idx="21">
                  <c:v>4.344629435088274</c:v>
                </c:pt>
                <c:pt idx="22">
                  <c:v>4.341133196965688</c:v>
                </c:pt>
                <c:pt idx="23">
                  <c:v>4.338104273503107</c:v>
                </c:pt>
                <c:pt idx="24">
                  <c:v>4.335520118395</c:v>
                </c:pt>
                <c:pt idx="25">
                  <c:v>4.333359024256122</c:v>
                </c:pt>
                <c:pt idx="26">
                  <c:v>4.3316000883582095</c:v>
                </c:pt>
                <c:pt idx="27">
                  <c:v>4.330223184445012</c:v>
                </c:pt>
                <c:pt idx="28">
                  <c:v>4.3292089404356195</c:v>
                </c:pt>
                <c:pt idx="29">
                  <c:v>4.328538721494288</c:v>
                </c:pt>
                <c:pt idx="30">
                  <c:v>4.328194617597125</c:v>
                </c:pt>
                <c:pt idx="31">
                  <c:v>4.32815943440581</c:v>
                </c:pt>
                <c:pt idx="32">
                  <c:v>4.328416686007916</c:v>
                </c:pt>
                <c:pt idx="33">
                  <c:v>4.328950587938957</c:v>
                </c:pt>
                <c:pt idx="34">
                  <c:v>4.3297460488866975</c:v>
                </c:pt>
                <c:pt idx="35">
                  <c:v>4.330788659604053</c:v>
                </c:pt>
                <c:pt idx="36">
                  <c:v>4.332064677816513</c:v>
                </c:pt>
                <c:pt idx="37">
                  <c:v>4.333561008281503</c:v>
                </c:pt>
                <c:pt idx="38">
                  <c:v>4.33526517760549</c:v>
                </c:pt>
                <c:pt idx="39">
                  <c:v>4.3371653039054365</c:v>
                </c:pt>
                <c:pt idx="40">
                  <c:v>4.339250061866675</c:v>
                </c:pt>
                <c:pt idx="41">
                  <c:v>4.341508644152915</c:v>
                </c:pt>
                <c:pt idx="42">
                  <c:v>4.34393072042706</c:v>
                </c:pt>
                <c:pt idx="43">
                  <c:v>4.346506395416317</c:v>
                </c:pt>
                <c:pt idx="44">
                  <c:v>4.349226167489022</c:v>
                </c:pt>
                <c:pt idx="45">
                  <c:v>4.352080889106242</c:v>
                </c:pt>
                <c:pt idx="46">
                  <c:v>4.355061730286716</c:v>
                </c:pt>
                <c:pt idx="47">
                  <c:v>4.358160145908766</c:v>
                </c:pt>
                <c:pt idx="48">
                  <c:v>4.36136784730638</c:v>
                </c:pt>
                <c:pt idx="49">
                  <c:v>4.364676778241035</c:v>
                </c:pt>
                <c:pt idx="50">
                  <c:v>4.368079094987037</c:v>
                </c:pt>
                <c:pt idx="51">
                  <c:v>4.3715671499907796</c:v>
                </c:pt>
                <c:pt idx="52">
                  <c:v>4.375133478378009</c:v>
                </c:pt>
                <c:pt idx="53">
                  <c:v>4.378770786499251</c:v>
                </c:pt>
                <c:pt idx="54">
                  <c:v>4.382471941719171</c:v>
                </c:pt>
                <c:pt idx="55">
                  <c:v>4.386229962754447</c:v>
                </c:pt>
                <c:pt idx="56">
                  <c:v>4.390038010019286</c:v>
                </c:pt>
                <c:pt idx="57">
                  <c:v>4.393889375613144</c:v>
                </c:pt>
                <c:pt idx="58">
                  <c:v>4.397777472744643</c:v>
                </c:pt>
                <c:pt idx="59">
                  <c:v>4.401695824495992</c:v>
                </c:pt>
                <c:pt idx="60">
                  <c:v>4.405638051867838</c:v>
                </c:pt>
                <c:pt idx="61">
                  <c:v>4.40959786099408</c:v>
                </c:pt>
                <c:pt idx="62">
                  <c:v>4.413569029281475</c:v>
                </c:pt>
                <c:pt idx="63">
                  <c:v>4.41754539002785</c:v>
                </c:pt>
                <c:pt idx="64">
                  <c:v>4.421520814834922</c:v>
                </c:pt>
                <c:pt idx="65">
                  <c:v>4.425489192896019</c:v>
                </c:pt>
                <c:pt idx="66">
                  <c:v>4.4294444060478275</c:v>
                </c:pt>
                <c:pt idx="67">
                  <c:v>4.433380298371565</c:v>
                </c:pt>
                <c:pt idx="68">
                  <c:v>4.437290639150503</c:v>
                </c:pt>
                <c:pt idx="69">
                  <c:v>4.441169078168859</c:v>
                </c:pt>
                <c:pt idx="70">
                  <c:v>4.445009092689454</c:v>
                </c:pt>
                <c:pt idx="71">
                  <c:v>4.448803925971406</c:v>
                </c:pt>
                <c:pt idx="72">
                  <c:v>4.452546517844124</c:v>
                </c:pt>
                <c:pt idx="73">
                  <c:v>4.456229428540155</c:v>
                </c:pt>
                <c:pt idx="74">
                  <c:v>4.4598447575182245</c:v>
                </c:pt>
                <c:pt idx="75">
                  <c:v>4.463384059074652</c:v>
                </c:pt>
                <c:pt idx="76">
                  <c:v>4.46683825571721</c:v>
                </c:pt>
                <c:pt idx="77">
                  <c:v>4.470197548033409</c:v>
                </c:pt>
                <c:pt idx="78">
                  <c:v>4.47345131558941</c:v>
                </c:pt>
                <c:pt idx="79">
                  <c:v>4.476587996871523</c:v>
                </c:pt>
                <c:pt idx="80">
                  <c:v>4.479594927475287</c:v>
                </c:pt>
                <c:pt idx="81">
                  <c:v>4.482458105455865</c:v>
                </c:pt>
                <c:pt idx="82">
                  <c:v>4.4851618428808955</c:v>
                </c:pt>
                <c:pt idx="83">
                  <c:v>4.487688256453775</c:v>
                </c:pt>
                <c:pt idx="84">
                  <c:v>4.490016552293792</c:v>
                </c:pt>
                <c:pt idx="85">
                  <c:v>4.492122076262481</c:v>
                </c:pt>
                <c:pt idx="86">
                  <c:v>4.49397513717695</c:v>
                </c:pt>
                <c:pt idx="87">
                  <c:v>4.4955396691580916</c:v>
                </c:pt>
                <c:pt idx="88">
                  <c:v>4.4967718788577296</c:v>
                </c:pt>
                <c:pt idx="89">
                  <c:v>4.497619110462837</c:v>
                </c:pt>
                <c:pt idx="90">
                  <c:v>4.4980192263153</c:v>
                </c:pt>
                <c:pt idx="91">
                  <c:v>4.497900789329761</c:v>
                </c:pt>
                <c:pt idx="92">
                  <c:v>4.4971841580318825</c:v>
                </c:pt>
                <c:pt idx="93">
                  <c:v>4.495783137388898</c:v>
                </c:pt>
                <c:pt idx="94">
                  <c:v>4.493656621219722</c:v>
                </c:pt>
                <c:pt idx="95">
                  <c:v>4.49049598862387</c:v>
                </c:pt>
                <c:pt idx="96">
                  <c:v>4.486033897344428</c:v>
                </c:pt>
                <c:pt idx="97">
                  <c:v>4.479739371092327</c:v>
                </c:pt>
                <c:pt idx="98">
                  <c:v>4.470565416205639</c:v>
                </c:pt>
                <c:pt idx="99">
                  <c:v>4.455820472079354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chart'!$AB$8:$AB$108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16"/>
          <c:order val="14"/>
          <c:tx>
            <c:v>q = 0.75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chart'!$AC$8:$AC$108</c:f>
              <c:numCache>
                <c:ptCount val="101"/>
                <c:pt idx="0">
                  <c:v>6.8666185897373975</c:v>
                </c:pt>
                <c:pt idx="1">
                  <c:v>6.807099139013769</c:v>
                </c:pt>
                <c:pt idx="2">
                  <c:v>6.749862301159303</c:v>
                </c:pt>
                <c:pt idx="3">
                  <c:v>6.6948109063211785</c:v>
                </c:pt>
                <c:pt idx="4">
                  <c:v>6.64185098772907</c:v>
                </c:pt>
                <c:pt idx="5">
                  <c:v>6.590892285456234</c:v>
                </c:pt>
                <c:pt idx="6">
                  <c:v>6.541848456775782</c:v>
                </c:pt>
                <c:pt idx="7">
                  <c:v>6.494637098288881</c:v>
                </c:pt>
                <c:pt idx="8">
                  <c:v>6.4491796521445055</c:v>
                </c:pt>
                <c:pt idx="9">
                  <c:v>6.405401245672377</c:v>
                </c:pt>
                <c:pt idx="10">
                  <c:v>6.363230497528195</c:v>
                </c:pt>
                <c:pt idx="11">
                  <c:v>6.322599311950883</c:v>
                </c:pt>
                <c:pt idx="12">
                  <c:v>6.283442674582129</c:v>
                </c:pt>
                <c:pt idx="13">
                  <c:v>6.245698457573526</c:v>
                </c:pt>
                <c:pt idx="14">
                  <c:v>6.209307237769498</c:v>
                </c:pt>
                <c:pt idx="15">
                  <c:v>6.174212129155248</c:v>
                </c:pt>
                <c:pt idx="16">
                  <c:v>6.140358629167471</c:v>
                </c:pt>
                <c:pt idx="17">
                  <c:v>6.107694477627339</c:v>
                </c:pt>
                <c:pt idx="18">
                  <c:v>6.076169526766108</c:v>
                </c:pt>
                <c:pt idx="19">
                  <c:v>6.045735620904276</c:v>
                </c:pt>
                <c:pt idx="20">
                  <c:v>6.016346484672196</c:v>
                </c:pt>
                <c:pt idx="21">
                  <c:v>5.987957619100991</c:v>
                </c:pt>
                <c:pt idx="22">
                  <c:v>5.9605262053662535</c:v>
                </c:pt>
                <c:pt idx="23">
                  <c:v>5.934011016351115</c:v>
                </c:pt>
                <c:pt idx="24">
                  <c:v>5.908372336449871</c:v>
                </c:pt>
                <c:pt idx="25">
                  <c:v>5.883571890120881</c:v>
                </c:pt>
                <c:pt idx="26">
                  <c:v>5.859572779603592</c:v>
                </c:pt>
                <c:pt idx="27">
                  <c:v>5.836339431949436</c:v>
                </c:pt>
                <c:pt idx="28">
                  <c:v>5.81383755511091</c:v>
                </c:pt>
                <c:pt idx="29">
                  <c:v>5.792034102337032</c:v>
                </c:pt>
                <c:pt idx="30">
                  <c:v>5.770897243598435</c:v>
                </c:pt>
                <c:pt idx="31">
                  <c:v>5.750396342279471</c:v>
                </c:pt>
                <c:pt idx="32">
                  <c:v>5.730501934992185</c:v>
                </c:pt>
                <c:pt idx="33">
                  <c:v>5.711185712143332</c:v>
                </c:pt>
                <c:pt idx="34">
                  <c:v>5.692420496857067</c:v>
                </c:pt>
                <c:pt idx="35">
                  <c:v>5.674180220038551</c:v>
                </c:pt>
                <c:pt idx="36">
                  <c:v>5.6564398897476345</c:v>
                </c:pt>
                <c:pt idx="37">
                  <c:v>5.639175553604283</c:v>
                </c:pt>
                <c:pt idx="38">
                  <c:v>5.622364253615952</c:v>
                </c:pt>
                <c:pt idx="39">
                  <c:v>5.6059839735349355</c:v>
                </c:pt>
                <c:pt idx="40">
                  <c:v>5.590013579548954</c:v>
                </c:pt>
                <c:pt idx="41">
                  <c:v>5.574432755711361</c:v>
                </c:pt>
                <c:pt idx="42">
                  <c:v>5.559221935969633</c:v>
                </c:pt>
                <c:pt idx="43">
                  <c:v>5.544362234911217</c:v>
                </c:pt>
                <c:pt idx="44">
                  <c:v>5.529835379394889</c:v>
                </c:pt>
                <c:pt idx="45">
                  <c:v>5.515623643077705</c:v>
                </c:pt>
                <c:pt idx="46">
                  <c:v>5.501709785508832</c:v>
                </c:pt>
                <c:pt idx="47">
                  <c:v>5.488076996987324</c:v>
                </c:pt>
                <c:pt idx="48">
                  <c:v>5.474708849828674</c:v>
                </c:pt>
                <c:pt idx="49">
                  <c:v>5.461589256118708</c:v>
                </c:pt>
                <c:pt idx="50">
                  <c:v>5.4487024315139365</c:v>
                </c:pt>
                <c:pt idx="51">
                  <c:v>5.436032864226864</c:v>
                </c:pt>
                <c:pt idx="52">
                  <c:v>5.4235652880495335</c:v>
                </c:pt>
                <c:pt idx="53">
                  <c:v>5.411284658135485</c:v>
                </c:pt>
                <c:pt idx="54">
                  <c:v>5.399176128274783</c:v>
                </c:pt>
                <c:pt idx="55">
                  <c:v>5.387225028534033</c:v>
                </c:pt>
                <c:pt idx="56">
                  <c:v>5.375416842351596</c:v>
                </c:pt>
                <c:pt idx="57">
                  <c:v>5.363737182425167</c:v>
                </c:pt>
                <c:pt idx="58">
                  <c:v>5.352171764948381</c:v>
                </c:pt>
                <c:pt idx="59">
                  <c:v>5.340706381895287</c:v>
                </c:pt>
                <c:pt idx="60">
                  <c:v>5.329326871077411</c:v>
                </c:pt>
                <c:pt idx="61">
                  <c:v>5.318019083590039</c:v>
                </c:pt>
                <c:pt idx="62">
                  <c:v>5.30676884802435</c:v>
                </c:pt>
                <c:pt idx="63">
                  <c:v>5.295561930476089</c:v>
                </c:pt>
                <c:pt idx="64">
                  <c:v>5.2843839889728805</c:v>
                </c:pt>
                <c:pt idx="65">
                  <c:v>5.2732205205281035</c:v>
                </c:pt>
                <c:pt idx="66">
                  <c:v>5.262056798671409</c:v>
                </c:pt>
                <c:pt idx="67">
                  <c:v>5.250877799067259</c:v>
                </c:pt>
                <c:pt idx="68">
                  <c:v>5.239668110767936</c:v>
                </c:pt>
                <c:pt idx="69">
                  <c:v>5.228411830802282</c:v>
                </c:pt>
                <c:pt idx="70">
                  <c:v>5.217092440201964</c:v>
                </c:pt>
                <c:pt idx="71">
                  <c:v>5.205692660211064</c:v>
                </c:pt>
                <c:pt idx="72">
                  <c:v>5.194194288255783</c:v>
                </c:pt>
                <c:pt idx="73">
                  <c:v>5.182578014126575</c:v>
                </c:pt>
                <c:pt idx="74">
                  <c:v>5.17082321746961</c:v>
                </c:pt>
                <c:pt idx="75">
                  <c:v>5.158907747645044</c:v>
                </c:pt>
                <c:pt idx="76">
                  <c:v>5.146807685628036</c:v>
                </c:pt>
                <c:pt idx="77">
                  <c:v>5.134497084058578</c:v>
                </c:pt>
                <c:pt idx="78">
                  <c:v>5.121947674845792</c:v>
                </c:pt>
                <c:pt idx="79">
                  <c:v>5.109128523055251</c:v>
                </c:pt>
                <c:pt idx="80">
                  <c:v>5.096005590705438</c:v>
                </c:pt>
                <c:pt idx="81">
                  <c:v>5.08254115490946</c:v>
                </c:pt>
                <c:pt idx="82">
                  <c:v>5.068693003059666</c:v>
                </c:pt>
                <c:pt idx="83">
                  <c:v>5.054413306539704</c:v>
                </c:pt>
                <c:pt idx="84">
                  <c:v>5.039647058456948</c:v>
                </c:pt>
                <c:pt idx="85">
                  <c:v>5.0243299560977475</c:v>
                </c:pt>
                <c:pt idx="86">
                  <c:v>5.008385621490825</c:v>
                </c:pt>
                <c:pt idx="87">
                  <c:v>4.991722088359628</c:v>
                </c:pt>
                <c:pt idx="88">
                  <c:v>4.974227541226311</c:v>
                </c:pt>
                <c:pt idx="89">
                  <c:v>4.955765364590716</c:v>
                </c:pt>
                <c:pt idx="90">
                  <c:v>4.936168625727552</c:v>
                </c:pt>
                <c:pt idx="91">
                  <c:v>4.915234133029055</c:v>
                </c:pt>
                <c:pt idx="92">
                  <c:v>4.892716115104739</c:v>
                </c:pt>
                <c:pt idx="93">
                  <c:v>4.868319247711979</c:v>
                </c:pt>
                <c:pt idx="94">
                  <c:v>4.841723635062708</c:v>
                </c:pt>
                <c:pt idx="95">
                  <c:v>4.812127294615075</c:v>
                </c:pt>
                <c:pt idx="96">
                  <c:v>4.7785843166908855</c:v>
                </c:pt>
                <c:pt idx="97">
                  <c:v>4.739358654127204</c:v>
                </c:pt>
                <c:pt idx="98">
                  <c:v>4.690923789207284</c:v>
                </c:pt>
                <c:pt idx="99">
                  <c:v>4.623640629188829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chart'!$AD$8:$AD$108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0"/>
          <c:order val="15"/>
          <c:tx>
            <c:v>q = 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chart'!$A$8:$A$108</c:f>
              <c:numCache>
                <c:ptCount val="101"/>
                <c:pt idx="0">
                  <c:v>0.0007722739713914102</c:v>
                </c:pt>
                <c:pt idx="1">
                  <c:v>0.05805348336103092</c:v>
                </c:pt>
                <c:pt idx="2">
                  <c:v>0.11443564990967685</c:v>
                </c:pt>
                <c:pt idx="3">
                  <c:v>0.16997723677880944</c:v>
                </c:pt>
                <c:pt idx="4">
                  <c:v>0.22472448678006432</c:v>
                </c:pt>
                <c:pt idx="5">
                  <c:v>0.2787151677626052</c:v>
                </c:pt>
                <c:pt idx="6">
                  <c:v>0.3319811266044856</c:v>
                </c:pt>
                <c:pt idx="7">
                  <c:v>0.3845500280011138</c:v>
                </c:pt>
                <c:pt idx="8">
                  <c:v>0.43644653597206096</c:v>
                </c:pt>
                <c:pt idx="9">
                  <c:v>0.4876931150664889</c:v>
                </c:pt>
                <c:pt idx="10">
                  <c:v>0.5383105727353948</c:v>
                </c:pt>
                <c:pt idx="11">
                  <c:v>0.5883184262015275</c:v>
                </c:pt>
                <c:pt idx="12">
                  <c:v>0.6377351509234731</c:v>
                </c:pt>
                <c:pt idx="13">
                  <c:v>0.6865783496904683</c:v>
                </c:pt>
                <c:pt idx="14">
                  <c:v>0.7348648689493966</c:v>
                </c:pt>
                <c:pt idx="15">
                  <c:v>0.7826108804080513</c:v>
                </c:pt>
                <c:pt idx="16">
                  <c:v>0.8298319400769963</c:v>
                </c:pt>
                <c:pt idx="17">
                  <c:v>0.8765430328791086</c:v>
                </c:pt>
                <c:pt idx="18">
                  <c:v>0.9227586081994761</c:v>
                </c:pt>
                <c:pt idx="19">
                  <c:v>0.9684926098734219</c:v>
                </c:pt>
                <c:pt idx="20">
                  <c:v>1.013758502844084</c:v>
                </c:pt>
                <c:pt idx="21">
                  <c:v>1.0585692978727985</c:v>
                </c:pt>
                <c:pt idx="22">
                  <c:v>1.102937575124905</c:v>
                </c:pt>
                <c:pt idx="23">
                  <c:v>1.146875507088945</c:v>
                </c:pt>
                <c:pt idx="24">
                  <c:v>1.1903948810558593</c:v>
                </c:pt>
                <c:pt idx="25">
                  <c:v>1.2335071212428557</c:v>
                </c:pt>
                <c:pt idx="26">
                  <c:v>1.276223310564552</c:v>
                </c:pt>
                <c:pt idx="27">
                  <c:v>1.3185542120106388</c:v>
                </c:pt>
                <c:pt idx="28">
                  <c:v>1.3605102895712284</c:v>
                </c:pt>
                <c:pt idx="29">
                  <c:v>1.402101728648178</c:v>
                </c:pt>
                <c:pt idx="30">
                  <c:v>1.443338455897031</c:v>
                </c:pt>
                <c:pt idx="31">
                  <c:v>1.4842301584555062</c:v>
                </c:pt>
                <c:pt idx="32">
                  <c:v>1.5247863025277697</c:v>
                </c:pt>
                <c:pt idx="33">
                  <c:v>1.5650161513076764</c:v>
                </c:pt>
                <c:pt idx="34">
                  <c:v>1.6049287822374314</c:v>
                </c:pt>
                <c:pt idx="35">
                  <c:v>1.644533103610428</c:v>
                </c:pt>
                <c:pt idx="36">
                  <c:v>1.6838378705378276</c:v>
                </c:pt>
                <c:pt idx="37">
                  <c:v>1.7228517003078878</c:v>
                </c:pt>
                <c:pt idx="38">
                  <c:v>1.761583087175174</c:v>
                </c:pt>
                <c:pt idx="39">
                  <c:v>1.800040416623535</c:v>
                </c:pt>
                <c:pt idx="40">
                  <c:v>1.8382319791524948</c:v>
                </c:pt>
                <c:pt idx="41">
                  <c:v>1.876165983641608</c:v>
                </c:pt>
                <c:pt idx="42">
                  <c:v>1.9138505703514785</c:v>
                </c:pt>
                <c:pt idx="43">
                  <c:v>1.9512938236238122</c:v>
                </c:pt>
                <c:pt idx="44">
                  <c:v>1.9885037843464337</c:v>
                </c:pt>
                <c:pt idx="45">
                  <c:v>2.0254884622525027</c:v>
                </c:pt>
                <c:pt idx="46">
                  <c:v>2.062255848126896</c:v>
                </c:pt>
                <c:pt idx="47">
                  <c:v>2.098813925996722</c:v>
                </c:pt>
                <c:pt idx="48">
                  <c:v>2.1351706853879</c:v>
                </c:pt>
                <c:pt idx="49">
                  <c:v>2.1713341337355128</c:v>
                </c:pt>
                <c:pt idx="50">
                  <c:v>2.207312309043119</c:v>
                </c:pt>
                <c:pt idx="51">
                  <c:v>2.2431132928953805</c:v>
                </c:pt>
                <c:pt idx="52">
                  <c:v>2.278745223939837</c:v>
                </c:pt>
                <c:pt idx="53">
                  <c:v>2.3142163119682553</c:v>
                </c:pt>
                <c:pt idx="54">
                  <c:v>2.349534852745688</c:v>
                </c:pt>
                <c:pt idx="55">
                  <c:v>2.384709243757603</c:v>
                </c:pt>
                <c:pt idx="56">
                  <c:v>2.419748001072324</c:v>
                </c:pt>
                <c:pt idx="57">
                  <c:v>2.4546597775487164</c:v>
                </c:pt>
                <c:pt idx="58">
                  <c:v>2.489453382658293</c:v>
                </c:pt>
                <c:pt idx="59">
                  <c:v>2.524137804237632</c:v>
                </c:pt>
                <c:pt idx="60">
                  <c:v>2.5587222325423187</c:v>
                </c:pt>
                <c:pt idx="61">
                  <c:v>2.5932160870386105</c:v>
                </c:pt>
                <c:pt idx="62">
                  <c:v>2.6276290464452154</c:v>
                </c:pt>
                <c:pt idx="63">
                  <c:v>2.661971082626469</c:v>
                </c:pt>
                <c:pt idx="64">
                  <c:v>2.696252499042259</c:v>
                </c:pt>
                <c:pt idx="65">
                  <c:v>2.730483974581492</c:v>
                </c:pt>
                <c:pt idx="66">
                  <c:v>2.7646766137483083</c:v>
                </c:pt>
                <c:pt idx="67">
                  <c:v>2.798842004336992</c:v>
                </c:pt>
                <c:pt idx="68">
                  <c:v>2.832992283926153</c:v>
                </c:pt>
                <c:pt idx="69">
                  <c:v>2.8671402167480093</c:v>
                </c:pt>
                <c:pt idx="70">
                  <c:v>2.9012992827449597</c:v>
                </c:pt>
                <c:pt idx="71">
                  <c:v>2.9354837809096064</c:v>
                </c:pt>
                <c:pt idx="72">
                  <c:v>2.969708949307572</c:v>
                </c:pt>
                <c:pt idx="73">
                  <c:v>3.003991104490228</c:v>
                </c:pt>
                <c:pt idx="74">
                  <c:v>3.038347803301355</c:v>
                </c:pt>
                <c:pt idx="75">
                  <c:v>3.0727980303610734</c:v>
                </c:pt>
                <c:pt idx="76">
                  <c:v>3.1073624148016377</c:v>
                </c:pt>
                <c:pt idx="77">
                  <c:v>3.142063480246301</c:v>
                </c:pt>
                <c:pt idx="78">
                  <c:v>3.1769259328443096</c:v>
                </c:pt>
                <c:pt idx="79">
                  <c:v>3.211976993975136</c:v>
                </c:pt>
                <c:pt idx="80">
                  <c:v>3.2472467880558216</c:v>
                </c:pt>
                <c:pt idx="81">
                  <c:v>3.2827688034567992</c:v>
                </c:pt>
                <c:pt idx="82">
                  <c:v>3.3185804584981873</c:v>
                </c:pt>
                <c:pt idx="83">
                  <c:v>3.3547238285696115</c:v>
                </c:pt>
                <c:pt idx="84">
                  <c:v>3.391246629286925</c:v>
                </c:pt>
                <c:pt idx="85">
                  <c:v>3.4282036093869532</c:v>
                </c:pt>
                <c:pt idx="86">
                  <c:v>3.4656585898862753</c:v>
                </c:pt>
                <c:pt idx="87">
                  <c:v>3.5036874932593367</c:v>
                </c:pt>
                <c:pt idx="88">
                  <c:v>3.542382830024765</c:v>
                </c:pt>
                <c:pt idx="89">
                  <c:v>3.5818602269305155</c:v>
                </c:pt>
                <c:pt idx="90">
                  <c:v>3.6222676433279717</c:v>
                </c:pt>
                <c:pt idx="91">
                  <c:v>3.663797848034516</c:v>
                </c:pt>
                <c:pt idx="92">
                  <c:v>3.7067043917774685</c:v>
                </c:pt>
                <c:pt idx="93">
                  <c:v>3.751320536459474</c:v>
                </c:pt>
                <c:pt idx="94">
                  <c:v>3.798166178510552</c:v>
                </c:pt>
                <c:pt idx="95">
                  <c:v>3.8479220869475053</c:v>
                </c:pt>
                <c:pt idx="96">
                  <c:v>3.9016852492188954</c:v>
                </c:pt>
                <c:pt idx="97">
                  <c:v>3.9613509124000763</c:v>
                </c:pt>
                <c:pt idx="98">
                  <c:v>4.030876064071614</c:v>
                </c:pt>
                <c:pt idx="99">
                  <c:v>4.121666231317314</c:v>
                </c:pt>
                <c:pt idx="100">
                  <c:v>4.388257359700806</c:v>
                </c:pt>
              </c:numCache>
            </c:numRef>
          </c:xVal>
          <c:yVal>
            <c:numRef>
              <c:f>'data T-s chart'!$B$8:$B$108</c:f>
              <c:numCache>
                <c:ptCount val="101"/>
                <c:pt idx="0">
                  <c:v>0.060000010000000006</c:v>
                </c:pt>
                <c:pt idx="1">
                  <c:v>3.7993600099000004</c:v>
                </c:pt>
                <c:pt idx="2">
                  <c:v>7.5387200098000005</c:v>
                </c:pt>
                <c:pt idx="3">
                  <c:v>11.278080009700002</c:v>
                </c:pt>
                <c:pt idx="4">
                  <c:v>15.017440009600001</c:v>
                </c:pt>
                <c:pt idx="5">
                  <c:v>18.7568000095</c:v>
                </c:pt>
                <c:pt idx="6">
                  <c:v>22.4961600094</c:v>
                </c:pt>
                <c:pt idx="7">
                  <c:v>26.2355200093</c:v>
                </c:pt>
                <c:pt idx="8">
                  <c:v>29.9748800092</c:v>
                </c:pt>
                <c:pt idx="9">
                  <c:v>33.7142400091</c:v>
                </c:pt>
                <c:pt idx="10">
                  <c:v>37.453600009000006</c:v>
                </c:pt>
                <c:pt idx="11">
                  <c:v>41.19296000890001</c:v>
                </c:pt>
                <c:pt idx="12">
                  <c:v>44.93232000880001</c:v>
                </c:pt>
                <c:pt idx="13">
                  <c:v>48.671680008700015</c:v>
                </c:pt>
                <c:pt idx="14">
                  <c:v>52.41104000860002</c:v>
                </c:pt>
                <c:pt idx="15">
                  <c:v>56.15040000850002</c:v>
                </c:pt>
                <c:pt idx="16">
                  <c:v>59.889760008400025</c:v>
                </c:pt>
                <c:pt idx="17">
                  <c:v>63.62912000830003</c:v>
                </c:pt>
                <c:pt idx="18">
                  <c:v>67.36848000820002</c:v>
                </c:pt>
                <c:pt idx="19">
                  <c:v>71.10784000810003</c:v>
                </c:pt>
                <c:pt idx="20">
                  <c:v>74.84720000800003</c:v>
                </c:pt>
                <c:pt idx="21">
                  <c:v>78.58656000790003</c:v>
                </c:pt>
                <c:pt idx="22">
                  <c:v>82.32592000780004</c:v>
                </c:pt>
                <c:pt idx="23">
                  <c:v>86.06528000770004</c:v>
                </c:pt>
                <c:pt idx="24">
                  <c:v>89.80464000760004</c:v>
                </c:pt>
                <c:pt idx="25">
                  <c:v>93.54400000750005</c:v>
                </c:pt>
                <c:pt idx="26">
                  <c:v>97.28336000740005</c:v>
                </c:pt>
                <c:pt idx="27">
                  <c:v>101.02272000730005</c:v>
                </c:pt>
                <c:pt idx="28">
                  <c:v>104.76208000720005</c:v>
                </c:pt>
                <c:pt idx="29">
                  <c:v>108.50144000710006</c:v>
                </c:pt>
                <c:pt idx="30">
                  <c:v>112.24080000700006</c:v>
                </c:pt>
                <c:pt idx="31">
                  <c:v>115.98016000690006</c:v>
                </c:pt>
                <c:pt idx="32">
                  <c:v>119.71952000680007</c:v>
                </c:pt>
                <c:pt idx="33">
                  <c:v>123.45888000670007</c:v>
                </c:pt>
                <c:pt idx="34">
                  <c:v>127.19824000660007</c:v>
                </c:pt>
                <c:pt idx="35">
                  <c:v>130.93760000650008</c:v>
                </c:pt>
                <c:pt idx="36">
                  <c:v>134.67696000640007</c:v>
                </c:pt>
                <c:pt idx="37">
                  <c:v>138.41632000630005</c:v>
                </c:pt>
                <c:pt idx="38">
                  <c:v>142.15568000620004</c:v>
                </c:pt>
                <c:pt idx="39">
                  <c:v>145.89504000610003</c:v>
                </c:pt>
                <c:pt idx="40">
                  <c:v>149.63440000600002</c:v>
                </c:pt>
                <c:pt idx="41">
                  <c:v>153.3737600059</c:v>
                </c:pt>
                <c:pt idx="42">
                  <c:v>157.1131200058</c:v>
                </c:pt>
                <c:pt idx="43">
                  <c:v>160.8524800057</c:v>
                </c:pt>
                <c:pt idx="44">
                  <c:v>164.59184000559998</c:v>
                </c:pt>
                <c:pt idx="45">
                  <c:v>168.33120000549997</c:v>
                </c:pt>
                <c:pt idx="46">
                  <c:v>172.07056000539995</c:v>
                </c:pt>
                <c:pt idx="47">
                  <c:v>175.80992000529994</c:v>
                </c:pt>
                <c:pt idx="48">
                  <c:v>179.54928000519993</c:v>
                </c:pt>
                <c:pt idx="49">
                  <c:v>183.28864000509992</c:v>
                </c:pt>
                <c:pt idx="50">
                  <c:v>187.0280000049999</c:v>
                </c:pt>
                <c:pt idx="51">
                  <c:v>190.7673600048999</c:v>
                </c:pt>
                <c:pt idx="52">
                  <c:v>194.5067200047999</c:v>
                </c:pt>
                <c:pt idx="53">
                  <c:v>198.24608000469988</c:v>
                </c:pt>
                <c:pt idx="54">
                  <c:v>201.98544000459987</c:v>
                </c:pt>
                <c:pt idx="55">
                  <c:v>205.72480000449985</c:v>
                </c:pt>
                <c:pt idx="56">
                  <c:v>209.46416000439984</c:v>
                </c:pt>
                <c:pt idx="57">
                  <c:v>213.20352000429983</c:v>
                </c:pt>
                <c:pt idx="58">
                  <c:v>216.94288000419982</c:v>
                </c:pt>
                <c:pt idx="59">
                  <c:v>220.6822400040998</c:v>
                </c:pt>
                <c:pt idx="60">
                  <c:v>224.4216000039998</c:v>
                </c:pt>
                <c:pt idx="61">
                  <c:v>228.1609600038998</c:v>
                </c:pt>
                <c:pt idx="62">
                  <c:v>231.90032000379978</c:v>
                </c:pt>
                <c:pt idx="63">
                  <c:v>235.63968000369977</c:v>
                </c:pt>
                <c:pt idx="64">
                  <c:v>239.37904000359975</c:v>
                </c:pt>
                <c:pt idx="65">
                  <c:v>243.11840000349974</c:v>
                </c:pt>
                <c:pt idx="66">
                  <c:v>246.85776000339973</c:v>
                </c:pt>
                <c:pt idx="67">
                  <c:v>250.59712000329972</c:v>
                </c:pt>
                <c:pt idx="68">
                  <c:v>254.3364800031997</c:v>
                </c:pt>
                <c:pt idx="69">
                  <c:v>258.0758400030997</c:v>
                </c:pt>
                <c:pt idx="70">
                  <c:v>261.8152000029997</c:v>
                </c:pt>
                <c:pt idx="71">
                  <c:v>265.5545600028997</c:v>
                </c:pt>
                <c:pt idx="72">
                  <c:v>269.29392000279967</c:v>
                </c:pt>
                <c:pt idx="73">
                  <c:v>273.03328000269966</c:v>
                </c:pt>
                <c:pt idx="74">
                  <c:v>276.77264000259964</c:v>
                </c:pt>
                <c:pt idx="75">
                  <c:v>280.51200000249963</c:v>
                </c:pt>
                <c:pt idx="76">
                  <c:v>284.2513600023996</c:v>
                </c:pt>
                <c:pt idx="77">
                  <c:v>287.9907200022996</c:v>
                </c:pt>
                <c:pt idx="78">
                  <c:v>291.7300800021996</c:v>
                </c:pt>
                <c:pt idx="79">
                  <c:v>295.4694400020996</c:v>
                </c:pt>
                <c:pt idx="80">
                  <c:v>299.2088000019996</c:v>
                </c:pt>
                <c:pt idx="81">
                  <c:v>302.94816000189957</c:v>
                </c:pt>
                <c:pt idx="82">
                  <c:v>306.68752000179956</c:v>
                </c:pt>
                <c:pt idx="83">
                  <c:v>310.42688000169954</c:v>
                </c:pt>
                <c:pt idx="84">
                  <c:v>314.16624000159953</c:v>
                </c:pt>
                <c:pt idx="85">
                  <c:v>317.9056000014995</c:v>
                </c:pt>
                <c:pt idx="86">
                  <c:v>321.6449600013995</c:v>
                </c:pt>
                <c:pt idx="87">
                  <c:v>325.3843200012995</c:v>
                </c:pt>
                <c:pt idx="88">
                  <c:v>329.1236800011995</c:v>
                </c:pt>
                <c:pt idx="89">
                  <c:v>332.8630400010995</c:v>
                </c:pt>
                <c:pt idx="90">
                  <c:v>336.60240000099947</c:v>
                </c:pt>
                <c:pt idx="91">
                  <c:v>340.34176000089946</c:v>
                </c:pt>
                <c:pt idx="92">
                  <c:v>344.08112000079944</c:v>
                </c:pt>
                <c:pt idx="93">
                  <c:v>347.82048000069943</c:v>
                </c:pt>
                <c:pt idx="94">
                  <c:v>351.5598400005994</c:v>
                </c:pt>
                <c:pt idx="95">
                  <c:v>355.2992000004994</c:v>
                </c:pt>
                <c:pt idx="96">
                  <c:v>359.0385600003994</c:v>
                </c:pt>
                <c:pt idx="97">
                  <c:v>362.7779200002994</c:v>
                </c:pt>
                <c:pt idx="98">
                  <c:v>366.5172800001994</c:v>
                </c:pt>
                <c:pt idx="99">
                  <c:v>370.25664000009937</c:v>
                </c:pt>
                <c:pt idx="100">
                  <c:v>373.93600000000004</c:v>
                </c:pt>
              </c:numCache>
            </c:numRef>
          </c:yVal>
          <c:smooth val="1"/>
        </c:ser>
        <c:ser>
          <c:idx val="1"/>
          <c:order val="16"/>
          <c:tx>
            <c:v>q =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chart'!$D$8:$D$108</c:f>
              <c:numCache>
                <c:ptCount val="101"/>
                <c:pt idx="0">
                  <c:v>9.154152241504368</c:v>
                </c:pt>
                <c:pt idx="1">
                  <c:v>9.055740802301074</c:v>
                </c:pt>
                <c:pt idx="2">
                  <c:v>8.960670772022853</c:v>
                </c:pt>
                <c:pt idx="3">
                  <c:v>8.868793153501311</c:v>
                </c:pt>
                <c:pt idx="4">
                  <c:v>8.779967306158483</c:v>
                </c:pt>
                <c:pt idx="5">
                  <c:v>8.694060362820789</c:v>
                </c:pt>
                <c:pt idx="6">
                  <c:v>8.610946654698472</c:v>
                </c:pt>
                <c:pt idx="7">
                  <c:v>8.530507158671822</c:v>
                </c:pt>
                <c:pt idx="8">
                  <c:v>8.452628976851093</c:v>
                </c:pt>
                <c:pt idx="9">
                  <c:v>8.377204854837267</c:v>
                </c:pt>
                <c:pt idx="10">
                  <c:v>8.304132742084871</c:v>
                </c:pt>
                <c:pt idx="11">
                  <c:v>8.233315395218018</c:v>
                </c:pt>
                <c:pt idx="12">
                  <c:v>8.164660023080105</c:v>
                </c:pt>
                <c:pt idx="13">
                  <c:v>8.098077970721002</c:v>
                </c:pt>
                <c:pt idx="14">
                  <c:v>8.033484438448534</c:v>
                </c:pt>
                <c:pt idx="15">
                  <c:v>7.970798231478803</c:v>
                </c:pt>
                <c:pt idx="16">
                  <c:v>7.909941535574008</c:v>
                </c:pt>
                <c:pt idx="17">
                  <c:v>7.850839714294713</c:v>
                </c:pt>
                <c:pt idx="18">
                  <c:v>7.793421124034683</c:v>
                </c:pt>
                <c:pt idx="19">
                  <c:v>7.737616943758006</c:v>
                </c:pt>
                <c:pt idx="20">
                  <c:v>7.683361017218826</c:v>
                </c:pt>
                <c:pt idx="21">
                  <c:v>7.630589706316215</c:v>
                </c:pt>
                <c:pt idx="22">
                  <c:v>7.579241755027429</c:v>
                </c:pt>
                <c:pt idx="23">
                  <c:v>7.529258163994973</c:v>
                </c:pt>
                <c:pt idx="24">
                  <c:v>7.48058207625658</c:v>
                </c:pt>
                <c:pt idx="25">
                  <c:v>7.4331586747680305</c:v>
                </c:pt>
                <c:pt idx="26">
                  <c:v>7.386935092267901</c:v>
                </c:pt>
                <c:pt idx="27">
                  <c:v>7.341860333691337</c:v>
                </c:pt>
                <c:pt idx="28">
                  <c:v>7.297885210803303</c:v>
                </c:pt>
                <c:pt idx="29">
                  <c:v>7.254962288060151</c:v>
                </c:pt>
                <c:pt idx="30">
                  <c:v>7.213045838006538</c:v>
                </c:pt>
                <c:pt idx="31">
                  <c:v>7.172091803864127</c:v>
                </c:pt>
                <c:pt idx="32">
                  <c:v>7.1320577664568425</c:v>
                </c:pt>
                <c:pt idx="33">
                  <c:v>7.092902912317317</c:v>
                </c:pt>
                <c:pt idx="34">
                  <c:v>7.05458799978074</c:v>
                </c:pt>
                <c:pt idx="35">
                  <c:v>7.017075320115316</c:v>
                </c:pt>
                <c:pt idx="36">
                  <c:v>6.980328651250119</c:v>
                </c:pt>
                <c:pt idx="37">
                  <c:v>6.944313202397395</c:v>
                </c:pt>
                <c:pt idx="38">
                  <c:v>6.908995548756376</c:v>
                </c:pt>
                <c:pt idx="39">
                  <c:v>6.874343556440859</c:v>
                </c:pt>
                <c:pt idx="40">
                  <c:v>6.840326298696797</c:v>
                </c:pt>
                <c:pt idx="41">
                  <c:v>6.80691396527636</c:v>
                </c:pt>
                <c:pt idx="42">
                  <c:v>6.77407776743364</c:v>
                </c:pt>
                <c:pt idx="43">
                  <c:v>6.741789841349307</c:v>
                </c:pt>
                <c:pt idx="44">
                  <c:v>6.710023152852115</c:v>
                </c:pt>
                <c:pt idx="45">
                  <c:v>6.67875140608974</c:v>
                </c:pt>
                <c:pt idx="46">
                  <c:v>6.6479489583455775</c:v>
                </c:pt>
                <c:pt idx="47">
                  <c:v>6.6175907425625065</c:v>
                </c:pt>
                <c:pt idx="48">
                  <c:v>6.587652198396072</c:v>
                </c:pt>
                <c:pt idx="49">
                  <c:v>6.5581092118626785</c:v>
                </c:pt>
                <c:pt idx="50">
                  <c:v>6.5289380629546745</c:v>
                </c:pt>
                <c:pt idx="51">
                  <c:v>6.500115380032597</c:v>
                </c:pt>
                <c:pt idx="52">
                  <c:v>6.471618099423247</c:v>
                </c:pt>
                <c:pt idx="53">
                  <c:v>6.443423428472693</c:v>
                </c:pt>
                <c:pt idx="54">
                  <c:v>6.415508810319121</c:v>
                </c:pt>
                <c:pt idx="55">
                  <c:v>6.3878518888280915</c:v>
                </c:pt>
                <c:pt idx="56">
                  <c:v>6.360430472415569</c:v>
                </c:pt>
                <c:pt idx="57">
                  <c:v>6.333222495802666</c:v>
                </c:pt>
                <c:pt idx="58">
                  <c:v>6.30620597902473</c:v>
                </c:pt>
                <c:pt idx="59">
                  <c:v>6.279358983189262</c:v>
                </c:pt>
                <c:pt idx="60">
                  <c:v>6.252659562491418</c:v>
                </c:pt>
                <c:pt idx="61">
                  <c:v>6.226085711827193</c:v>
                </c:pt>
                <c:pt idx="62">
                  <c:v>6.199615308997093</c:v>
                </c:pt>
                <c:pt idx="63">
                  <c:v>6.173226050000478</c:v>
                </c:pt>
                <c:pt idx="64">
                  <c:v>6.1468953753408835</c:v>
                </c:pt>
                <c:pt idx="65">
                  <c:v>6.120600384669989</c:v>
                </c:pt>
                <c:pt idx="66">
                  <c:v>6.094317736575443</c:v>
                </c:pt>
                <c:pt idx="67">
                  <c:v>6.06802352994591</c:v>
                </c:pt>
                <c:pt idx="68">
                  <c:v>6.041693163199354</c:v>
                </c:pt>
                <c:pt idx="69">
                  <c:v>6.015301167795736</c:v>
                </c:pt>
                <c:pt idx="70">
                  <c:v>5.988821012908732</c:v>
                </c:pt>
                <c:pt idx="71">
                  <c:v>5.96222487889867</c:v>
                </c:pt>
                <c:pt idx="72">
                  <c:v>5.935483398238702</c:v>
                </c:pt>
                <c:pt idx="73">
                  <c:v>5.908565363609244</c:v>
                </c:pt>
                <c:pt idx="74">
                  <c:v>5.881437403629104</c:v>
                </c:pt>
                <c:pt idx="75">
                  <c:v>5.854063626528018</c:v>
                </c:pt>
                <c:pt idx="76">
                  <c:v>5.826405230095496</c:v>
                </c:pt>
                <c:pt idx="77">
                  <c:v>5.798420071294438</c:v>
                </c:pt>
                <c:pt idx="78">
                  <c:v>5.770062179656217</c:v>
                </c:pt>
                <c:pt idx="79">
                  <c:v>5.741281183660873</c:v>
                </c:pt>
                <c:pt idx="80">
                  <c:v>5.712021597817377</c:v>
                </c:pt>
                <c:pt idx="81">
                  <c:v>5.6822218899849695</c:v>
                </c:pt>
                <c:pt idx="82">
                  <c:v>5.651813214814169</c:v>
                </c:pt>
                <c:pt idx="83">
                  <c:v>5.62071766292506</c:v>
                </c:pt>
                <c:pt idx="84">
                  <c:v>5.588845841306209</c:v>
                </c:pt>
                <c:pt idx="85">
                  <c:v>5.556093574691618</c:v>
                </c:pt>
                <c:pt idx="86">
                  <c:v>5.522337507338309</c:v>
                </c:pt>
                <c:pt idx="87">
                  <c:v>5.487429395828291</c:v>
                </c:pt>
                <c:pt idx="88">
                  <c:v>5.451188919313333</c:v>
                </c:pt>
                <c:pt idx="89">
                  <c:v>5.413394891018857</c:v>
                </c:pt>
                <c:pt idx="90">
                  <c:v>5.373774821100642</c:v>
                </c:pt>
                <c:pt idx="91">
                  <c:v>5.33199282886324</c:v>
                </c:pt>
                <c:pt idx="92">
                  <c:v>5.28763588292081</c:v>
                </c:pt>
                <c:pt idx="93">
                  <c:v>5.2401981764241</c:v>
                </c:pt>
                <c:pt idx="94">
                  <c:v>5.189076734169946</c:v>
                </c:pt>
                <c:pt idx="95">
                  <c:v>5.132969456501076</c:v>
                </c:pt>
                <c:pt idx="96">
                  <c:v>5.070241510182653</c:v>
                </c:pt>
                <c:pt idx="97">
                  <c:v>4.997927058656501</c:v>
                </c:pt>
                <c:pt idx="98">
                  <c:v>4.9099532911370165</c:v>
                </c:pt>
                <c:pt idx="99">
                  <c:v>4.789445173150585</c:v>
                </c:pt>
                <c:pt idx="100">
                  <c:v>4.412600404171936</c:v>
                </c:pt>
              </c:numCache>
            </c:numRef>
          </c:xVal>
          <c:yVal>
            <c:numRef>
              <c:f>'data T-s chart'!$E$8:$E$108</c:f>
              <c:numCache>
                <c:ptCount val="101"/>
                <c:pt idx="0">
                  <c:v>0.060000010000000006</c:v>
                </c:pt>
                <c:pt idx="1">
                  <c:v>3.7993600099000004</c:v>
                </c:pt>
                <c:pt idx="2">
                  <c:v>7.5387200098000005</c:v>
                </c:pt>
                <c:pt idx="3">
                  <c:v>11.278080009700002</c:v>
                </c:pt>
                <c:pt idx="4">
                  <c:v>15.017440009600001</c:v>
                </c:pt>
                <c:pt idx="5">
                  <c:v>18.7568000095</c:v>
                </c:pt>
                <c:pt idx="6">
                  <c:v>22.4961600094</c:v>
                </c:pt>
                <c:pt idx="7">
                  <c:v>26.2355200093</c:v>
                </c:pt>
                <c:pt idx="8">
                  <c:v>29.9748800092</c:v>
                </c:pt>
                <c:pt idx="9">
                  <c:v>33.7142400091</c:v>
                </c:pt>
                <c:pt idx="10">
                  <c:v>37.453600009000006</c:v>
                </c:pt>
                <c:pt idx="11">
                  <c:v>41.19296000890001</c:v>
                </c:pt>
                <c:pt idx="12">
                  <c:v>44.93232000880001</c:v>
                </c:pt>
                <c:pt idx="13">
                  <c:v>48.671680008700015</c:v>
                </c:pt>
                <c:pt idx="14">
                  <c:v>52.41104000860002</c:v>
                </c:pt>
                <c:pt idx="15">
                  <c:v>56.15040000850002</c:v>
                </c:pt>
                <c:pt idx="16">
                  <c:v>59.889760008400025</c:v>
                </c:pt>
                <c:pt idx="17">
                  <c:v>63.62912000830003</c:v>
                </c:pt>
                <c:pt idx="18">
                  <c:v>67.36848000820002</c:v>
                </c:pt>
                <c:pt idx="19">
                  <c:v>71.10784000810003</c:v>
                </c:pt>
                <c:pt idx="20">
                  <c:v>74.84720000800003</c:v>
                </c:pt>
                <c:pt idx="21">
                  <c:v>78.58656000790003</c:v>
                </c:pt>
                <c:pt idx="22">
                  <c:v>82.32592000780004</c:v>
                </c:pt>
                <c:pt idx="23">
                  <c:v>86.06528000770004</c:v>
                </c:pt>
                <c:pt idx="24">
                  <c:v>89.80464000760004</c:v>
                </c:pt>
                <c:pt idx="25">
                  <c:v>93.54400000750005</c:v>
                </c:pt>
                <c:pt idx="26">
                  <c:v>97.28336000740005</c:v>
                </c:pt>
                <c:pt idx="27">
                  <c:v>101.02272000730005</c:v>
                </c:pt>
                <c:pt idx="28">
                  <c:v>104.76208000720005</c:v>
                </c:pt>
                <c:pt idx="29">
                  <c:v>108.50144000710006</c:v>
                </c:pt>
                <c:pt idx="30">
                  <c:v>112.24080000700006</c:v>
                </c:pt>
                <c:pt idx="31">
                  <c:v>115.98016000690006</c:v>
                </c:pt>
                <c:pt idx="32">
                  <c:v>119.71952000680007</c:v>
                </c:pt>
                <c:pt idx="33">
                  <c:v>123.45888000670007</c:v>
                </c:pt>
                <c:pt idx="34">
                  <c:v>127.19824000660007</c:v>
                </c:pt>
                <c:pt idx="35">
                  <c:v>130.93760000650008</c:v>
                </c:pt>
                <c:pt idx="36">
                  <c:v>134.67696000640007</c:v>
                </c:pt>
                <c:pt idx="37">
                  <c:v>138.41632000630005</c:v>
                </c:pt>
                <c:pt idx="38">
                  <c:v>142.15568000620004</c:v>
                </c:pt>
                <c:pt idx="39">
                  <c:v>145.89504000610003</c:v>
                </c:pt>
                <c:pt idx="40">
                  <c:v>149.63440000600002</c:v>
                </c:pt>
                <c:pt idx="41">
                  <c:v>153.3737600059</c:v>
                </c:pt>
                <c:pt idx="42">
                  <c:v>157.1131200058</c:v>
                </c:pt>
                <c:pt idx="43">
                  <c:v>160.8524800057</c:v>
                </c:pt>
                <c:pt idx="44">
                  <c:v>164.59184000559998</c:v>
                </c:pt>
                <c:pt idx="45">
                  <c:v>168.33120000549997</c:v>
                </c:pt>
                <c:pt idx="46">
                  <c:v>172.07056000539995</c:v>
                </c:pt>
                <c:pt idx="47">
                  <c:v>175.80992000529994</c:v>
                </c:pt>
                <c:pt idx="48">
                  <c:v>179.54928000519993</c:v>
                </c:pt>
                <c:pt idx="49">
                  <c:v>183.28864000509992</c:v>
                </c:pt>
                <c:pt idx="50">
                  <c:v>187.0280000049999</c:v>
                </c:pt>
                <c:pt idx="51">
                  <c:v>190.7673600048999</c:v>
                </c:pt>
                <c:pt idx="52">
                  <c:v>194.5067200047999</c:v>
                </c:pt>
                <c:pt idx="53">
                  <c:v>198.24608000469988</c:v>
                </c:pt>
                <c:pt idx="54">
                  <c:v>201.98544000459987</c:v>
                </c:pt>
                <c:pt idx="55">
                  <c:v>205.72480000449985</c:v>
                </c:pt>
                <c:pt idx="56">
                  <c:v>209.46416000439984</c:v>
                </c:pt>
                <c:pt idx="57">
                  <c:v>213.20352000429983</c:v>
                </c:pt>
                <c:pt idx="58">
                  <c:v>216.94288000419982</c:v>
                </c:pt>
                <c:pt idx="59">
                  <c:v>220.6822400040998</c:v>
                </c:pt>
                <c:pt idx="60">
                  <c:v>224.4216000039998</c:v>
                </c:pt>
                <c:pt idx="61">
                  <c:v>228.1609600038998</c:v>
                </c:pt>
                <c:pt idx="62">
                  <c:v>231.90032000379978</c:v>
                </c:pt>
                <c:pt idx="63">
                  <c:v>235.63968000369977</c:v>
                </c:pt>
                <c:pt idx="64">
                  <c:v>239.37904000359975</c:v>
                </c:pt>
                <c:pt idx="65">
                  <c:v>243.11840000349974</c:v>
                </c:pt>
                <c:pt idx="66">
                  <c:v>246.85776000339973</c:v>
                </c:pt>
                <c:pt idx="67">
                  <c:v>250.59712000329972</c:v>
                </c:pt>
                <c:pt idx="68">
                  <c:v>254.3364800031997</c:v>
                </c:pt>
                <c:pt idx="69">
                  <c:v>258.0758400030997</c:v>
                </c:pt>
                <c:pt idx="70">
                  <c:v>261.8152000029997</c:v>
                </c:pt>
                <c:pt idx="71">
                  <c:v>265.5545600028997</c:v>
                </c:pt>
                <c:pt idx="72">
                  <c:v>269.29392000279967</c:v>
                </c:pt>
                <c:pt idx="73">
                  <c:v>273.03328000269966</c:v>
                </c:pt>
                <c:pt idx="74">
                  <c:v>276.77264000259964</c:v>
                </c:pt>
                <c:pt idx="75">
                  <c:v>280.51200000249963</c:v>
                </c:pt>
                <c:pt idx="76">
                  <c:v>284.2513600023996</c:v>
                </c:pt>
                <c:pt idx="77">
                  <c:v>287.9907200022996</c:v>
                </c:pt>
                <c:pt idx="78">
                  <c:v>291.7300800021996</c:v>
                </c:pt>
                <c:pt idx="79">
                  <c:v>295.4694400020996</c:v>
                </c:pt>
                <c:pt idx="80">
                  <c:v>299.2088000019996</c:v>
                </c:pt>
                <c:pt idx="81">
                  <c:v>302.94816000189957</c:v>
                </c:pt>
                <c:pt idx="82">
                  <c:v>306.68752000179956</c:v>
                </c:pt>
                <c:pt idx="83">
                  <c:v>310.42688000169954</c:v>
                </c:pt>
                <c:pt idx="84">
                  <c:v>314.16624000159953</c:v>
                </c:pt>
                <c:pt idx="85">
                  <c:v>317.9056000014995</c:v>
                </c:pt>
                <c:pt idx="86">
                  <c:v>321.6449600013995</c:v>
                </c:pt>
                <c:pt idx="87">
                  <c:v>325.3843200012995</c:v>
                </c:pt>
                <c:pt idx="88">
                  <c:v>329.1236800011995</c:v>
                </c:pt>
                <c:pt idx="89">
                  <c:v>332.8630400010995</c:v>
                </c:pt>
                <c:pt idx="90">
                  <c:v>336.60240000099947</c:v>
                </c:pt>
                <c:pt idx="91">
                  <c:v>340.34176000089946</c:v>
                </c:pt>
                <c:pt idx="92">
                  <c:v>344.08112000079944</c:v>
                </c:pt>
                <c:pt idx="93">
                  <c:v>347.82048000069943</c:v>
                </c:pt>
                <c:pt idx="94">
                  <c:v>351.5598400005994</c:v>
                </c:pt>
                <c:pt idx="95">
                  <c:v>355.2992000004994</c:v>
                </c:pt>
                <c:pt idx="96">
                  <c:v>359.0385600003994</c:v>
                </c:pt>
                <c:pt idx="97">
                  <c:v>362.7779200002994</c:v>
                </c:pt>
                <c:pt idx="98">
                  <c:v>366.5172800001994</c:v>
                </c:pt>
                <c:pt idx="99">
                  <c:v>370.25664000009937</c:v>
                </c:pt>
                <c:pt idx="100">
                  <c:v>373.93600000000004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'Superheated Rankine Cycle'!$N$21:$N$30</c:f>
              <c:numCache/>
            </c:numRef>
          </c:xVal>
          <c:yVal>
            <c:numRef>
              <c:f>'Superheated Rankine Cycle'!$O$21:$O$30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'Superheated Rankine Cycle'!$N$32:$N$34</c:f>
              <c:numCache/>
            </c:numRef>
          </c:xVal>
          <c:yVal>
            <c:numRef>
              <c:f>'Superheated Rankine Cycle'!$O$32:$O$34</c:f>
              <c:numCache/>
            </c:numRef>
          </c:yVal>
          <c:smooth val="1"/>
        </c:ser>
        <c:axId val="17853143"/>
        <c:axId val="26460560"/>
      </c:scatterChart>
      <c:valAx>
        <c:axId val="1785314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 [kJ/kg]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crossBetween val="midCat"/>
        <c:dispUnits/>
      </c:valAx>
      <c:valAx>
        <c:axId val="2646056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T-s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P = 1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chart'!$G$8:$G$108</c:f>
              <c:numCache>
                <c:ptCount val="101"/>
                <c:pt idx="0">
                  <c:v>6.668400351603103E-06</c:v>
                </c:pt>
                <c:pt idx="1">
                  <c:v>0.15062580472073323</c:v>
                </c:pt>
                <c:pt idx="2">
                  <c:v>0.2954718706000359</c:v>
                </c:pt>
                <c:pt idx="3">
                  <c:v>0.43522989573225934</c:v>
                </c:pt>
                <c:pt idx="4">
                  <c:v>0.5703698531868581</c:v>
                </c:pt>
                <c:pt idx="5">
                  <c:v>0.7012687852698729</c:v>
                </c:pt>
                <c:pt idx="6">
                  <c:v>0.8282542288100062</c:v>
                </c:pt>
                <c:pt idx="7">
                  <c:v>0.9516201030482361</c:v>
                </c:pt>
                <c:pt idx="8">
                  <c:v>1.0716334773599414</c:v>
                </c:pt>
                <c:pt idx="9">
                  <c:v>1.1885385940817872</c:v>
                </c:pt>
                <c:pt idx="10">
                  <c:v>1.3025601737745955</c:v>
                </c:pt>
                <c:pt idx="11">
                  <c:v>1.9081848205040721</c:v>
                </c:pt>
                <c:pt idx="12">
                  <c:v>2.513809467233549</c:v>
                </c:pt>
                <c:pt idx="13">
                  <c:v>3.119434113963025</c:v>
                </c:pt>
                <c:pt idx="14">
                  <c:v>3.7250587606925016</c:v>
                </c:pt>
                <c:pt idx="15">
                  <c:v>4.330683407421978</c:v>
                </c:pt>
                <c:pt idx="16">
                  <c:v>4.936308054151454</c:v>
                </c:pt>
                <c:pt idx="17">
                  <c:v>5.541932700880931</c:v>
                </c:pt>
                <c:pt idx="18">
                  <c:v>6.147557347610408</c:v>
                </c:pt>
                <c:pt idx="19">
                  <c:v>6.753181994339884</c:v>
                </c:pt>
                <c:pt idx="20">
                  <c:v>7.358806641069361</c:v>
                </c:pt>
                <c:pt idx="21">
                  <c:v>7.406603247859613</c:v>
                </c:pt>
                <c:pt idx="22">
                  <c:v>7.45274274438989</c:v>
                </c:pt>
                <c:pt idx="23">
                  <c:v>7.497476934329829</c:v>
                </c:pt>
                <c:pt idx="24">
                  <c:v>7.540965982267251</c:v>
                </c:pt>
                <c:pt idx="25">
                  <c:v>7.583329875562024</c:v>
                </c:pt>
                <c:pt idx="26">
                  <c:v>7.624665791595271</c:v>
                </c:pt>
                <c:pt idx="27">
                  <c:v>7.665055255783626</c:v>
                </c:pt>
                <c:pt idx="28">
                  <c:v>7.704567912974004</c:v>
                </c:pt>
                <c:pt idx="29">
                  <c:v>7.743263958859424</c:v>
                </c:pt>
                <c:pt idx="30">
                  <c:v>7.781195903426462</c:v>
                </c:pt>
                <c:pt idx="31">
                  <c:v>7.818409924729707</c:v>
                </c:pt>
                <c:pt idx="32">
                  <c:v>7.854946936250654</c:v>
                </c:pt>
                <c:pt idx="33">
                  <c:v>7.890843440282463</c:v>
                </c:pt>
                <c:pt idx="34">
                  <c:v>7.926132216371123</c:v>
                </c:pt>
                <c:pt idx="35">
                  <c:v>7.96084288058589</c:v>
                </c:pt>
                <c:pt idx="36">
                  <c:v>7.995002342679746</c:v>
                </c:pt>
                <c:pt idx="37">
                  <c:v>8.028635181980599</c:v>
                </c:pt>
                <c:pt idx="38">
                  <c:v>8.061763958227575</c:v>
                </c:pt>
                <c:pt idx="39">
                  <c:v>8.09440947005546</c:v>
                </c:pt>
                <c:pt idx="40">
                  <c:v>8.126590971135434</c:v>
                </c:pt>
                <c:pt idx="41">
                  <c:v>8.158326351896699</c:v>
                </c:pt>
                <c:pt idx="42">
                  <c:v>8.189632293134002</c:v>
                </c:pt>
                <c:pt idx="43">
                  <c:v>8.220524396540293</c:v>
                </c:pt>
                <c:pt idx="44">
                  <c:v>8.251017296210645</c:v>
                </c:pt>
                <c:pt idx="45">
                  <c:v>8.281124754380278</c:v>
                </c:pt>
                <c:pt idx="46">
                  <c:v>8.310859744039808</c:v>
                </c:pt>
                <c:pt idx="47">
                  <c:v>8.340234520577736</c:v>
                </c:pt>
                <c:pt idx="48">
                  <c:v>8.369260684206868</c:v>
                </c:pt>
                <c:pt idx="49">
                  <c:v>8.397949234615869</c:v>
                </c:pt>
                <c:pt idx="50">
                  <c:v>8.426310619033433</c:v>
                </c:pt>
                <c:pt idx="51">
                  <c:v>8.454354774687344</c:v>
                </c:pt>
                <c:pt idx="52">
                  <c:v>8.482091166474538</c:v>
                </c:pt>
                <c:pt idx="53">
                  <c:v>8.509528820522709</c:v>
                </c:pt>
                <c:pt idx="54">
                  <c:v>8.53667635421342</c:v>
                </c:pt>
                <c:pt idx="55">
                  <c:v>8.563542003145754</c:v>
                </c:pt>
                <c:pt idx="56">
                  <c:v>8.590133645444842</c:v>
                </c:pt>
                <c:pt idx="57">
                  <c:v>8.616458823757807</c:v>
                </c:pt>
                <c:pt idx="58">
                  <c:v>8.642524765228252</c:v>
                </c:pt>
                <c:pt idx="59">
                  <c:v>8.668338399697937</c:v>
                </c:pt>
                <c:pt idx="60">
                  <c:v>8.693906376348426</c:v>
                </c:pt>
                <c:pt idx="61">
                  <c:v>8.719235078965722</c:v>
                </c:pt>
                <c:pt idx="62">
                  <c:v>8.744330639985671</c:v>
                </c:pt>
                <c:pt idx="63">
                  <c:v>8.769198953456659</c:v>
                </c:pt>
                <c:pt idx="64">
                  <c:v>8.79384568703824</c:v>
                </c:pt>
                <c:pt idx="65">
                  <c:v>8.818276293138892</c:v>
                </c:pt>
                <c:pt idx="66">
                  <c:v>8.842496019283113</c:v>
                </c:pt>
                <c:pt idx="67">
                  <c:v>8.866509917786999</c:v>
                </c:pt>
                <c:pt idx="68">
                  <c:v>8.890322854811687</c:v>
                </c:pt>
                <c:pt idx="69">
                  <c:v>8.913939518855978</c:v>
                </c:pt>
                <c:pt idx="70">
                  <c:v>8.937364428742205</c:v>
                </c:pt>
                <c:pt idx="71">
                  <c:v>8.960601941143373</c:v>
                </c:pt>
                <c:pt idx="72">
                  <c:v>8.983656257694063</c:v>
                </c:pt>
                <c:pt idx="73">
                  <c:v>9.006531431723149</c:v>
                </c:pt>
                <c:pt idx="74">
                  <c:v>9.029231374642109</c:v>
                </c:pt>
                <c:pt idx="75">
                  <c:v>9.051759862019285</c:v>
                </c:pt>
                <c:pt idx="76">
                  <c:v>9.074120539367174</c:v>
                </c:pt>
                <c:pt idx="77">
                  <c:v>9.096316927667234</c:v>
                </c:pt>
                <c:pt idx="78">
                  <c:v>9.118352428654141</c:v>
                </c:pt>
                <c:pt idx="79">
                  <c:v>9.140230329879287</c:v>
                </c:pt>
                <c:pt idx="80">
                  <c:v>9.161953809571484</c:v>
                </c:pt>
                <c:pt idx="81">
                  <c:v>9.183525941311014</c:v>
                </c:pt>
                <c:pt idx="82">
                  <c:v>9.204949698531813</c:v>
                </c:pt>
                <c:pt idx="83">
                  <c:v>9.226227958865053</c:v>
                </c:pt>
                <c:pt idx="84">
                  <c:v>9.24736350833634</c:v>
                </c:pt>
                <c:pt idx="85">
                  <c:v>9.268359045427555</c:v>
                </c:pt>
                <c:pt idx="86">
                  <c:v>9.289217185013463</c:v>
                </c:pt>
                <c:pt idx="87">
                  <c:v>9.309940462182299</c:v>
                </c:pt>
                <c:pt idx="88">
                  <c:v>9.330531335948777</c:v>
                </c:pt>
                <c:pt idx="89">
                  <c:v>9.350992192867283</c:v>
                </c:pt>
                <c:pt idx="90">
                  <c:v>9.37132535055229</c:v>
                </c:pt>
                <c:pt idx="91">
                  <c:v>9.391533061112591</c:v>
                </c:pt>
                <c:pt idx="92">
                  <c:v>9.411617514505233</c:v>
                </c:pt>
                <c:pt idx="93">
                  <c:v>9.431580841814798</c:v>
                </c:pt>
                <c:pt idx="94">
                  <c:v>9.451425118462957</c:v>
                </c:pt>
                <c:pt idx="95">
                  <c:v>9.47115236735314</c:v>
                </c:pt>
                <c:pt idx="96">
                  <c:v>9.490764561954494</c:v>
                </c:pt>
                <c:pt idx="97">
                  <c:v>9.510263629329263</c:v>
                </c:pt>
                <c:pt idx="98">
                  <c:v>9.529651453107173</c:v>
                </c:pt>
                <c:pt idx="99">
                  <c:v>9.548929876410327</c:v>
                </c:pt>
                <c:pt idx="100">
                  <c:v>9.568100704731721</c:v>
                </c:pt>
              </c:numCache>
            </c:numRef>
          </c:xVal>
          <c:yVal>
            <c:numRef>
              <c:f>'data T-s chart'!$H$8:$H$108</c:f>
              <c:numCache>
                <c:ptCount val="101"/>
                <c:pt idx="0">
                  <c:v>0.01000001</c:v>
                </c:pt>
                <c:pt idx="1">
                  <c:v>9.969591870133765</c:v>
                </c:pt>
                <c:pt idx="2">
                  <c:v>19.929183730267532</c:v>
                </c:pt>
                <c:pt idx="3">
                  <c:v>29.888775590401295</c:v>
                </c:pt>
                <c:pt idx="4">
                  <c:v>39.84836745053506</c:v>
                </c:pt>
                <c:pt idx="5">
                  <c:v>49.80795931066882</c:v>
                </c:pt>
                <c:pt idx="6">
                  <c:v>59.767551170802584</c:v>
                </c:pt>
                <c:pt idx="7">
                  <c:v>69.72714303093635</c:v>
                </c:pt>
                <c:pt idx="8">
                  <c:v>79.68673489107012</c:v>
                </c:pt>
                <c:pt idx="9">
                  <c:v>89.64632675120389</c:v>
                </c:pt>
                <c:pt idx="10">
                  <c:v>99.60591861133764</c:v>
                </c:pt>
                <c:pt idx="11">
                  <c:v>99.60591861133764</c:v>
                </c:pt>
                <c:pt idx="12">
                  <c:v>99.60591861133764</c:v>
                </c:pt>
                <c:pt idx="13">
                  <c:v>99.60591861133764</c:v>
                </c:pt>
                <c:pt idx="14">
                  <c:v>99.60591861133764</c:v>
                </c:pt>
                <c:pt idx="15">
                  <c:v>99.60591861133764</c:v>
                </c:pt>
                <c:pt idx="16">
                  <c:v>99.60591861133764</c:v>
                </c:pt>
                <c:pt idx="17">
                  <c:v>99.60591861133764</c:v>
                </c:pt>
                <c:pt idx="18">
                  <c:v>99.60591861133764</c:v>
                </c:pt>
                <c:pt idx="19">
                  <c:v>99.60591861133764</c:v>
                </c:pt>
                <c:pt idx="20">
                  <c:v>99.60591861133764</c:v>
                </c:pt>
                <c:pt idx="21">
                  <c:v>108.36084462869593</c:v>
                </c:pt>
                <c:pt idx="22">
                  <c:v>117.11577064605422</c:v>
                </c:pt>
                <c:pt idx="23">
                  <c:v>125.8706966634125</c:v>
                </c:pt>
                <c:pt idx="24">
                  <c:v>134.6256226807708</c:v>
                </c:pt>
                <c:pt idx="25">
                  <c:v>143.38054869812908</c:v>
                </c:pt>
                <c:pt idx="26">
                  <c:v>152.13547471548736</c:v>
                </c:pt>
                <c:pt idx="27">
                  <c:v>160.89040073284565</c:v>
                </c:pt>
                <c:pt idx="28">
                  <c:v>169.64532675020394</c:v>
                </c:pt>
                <c:pt idx="29">
                  <c:v>178.40025276756222</c:v>
                </c:pt>
                <c:pt idx="30">
                  <c:v>187.1551787849205</c:v>
                </c:pt>
                <c:pt idx="31">
                  <c:v>195.9101048022788</c:v>
                </c:pt>
                <c:pt idx="32">
                  <c:v>204.66503081963708</c:v>
                </c:pt>
                <c:pt idx="33">
                  <c:v>213.41995683699537</c:v>
                </c:pt>
                <c:pt idx="34">
                  <c:v>222.17488285435365</c:v>
                </c:pt>
                <c:pt idx="35">
                  <c:v>230.92980887171194</c:v>
                </c:pt>
                <c:pt idx="36">
                  <c:v>239.68473488907023</c:v>
                </c:pt>
                <c:pt idx="37">
                  <c:v>248.43966090642851</c:v>
                </c:pt>
                <c:pt idx="38">
                  <c:v>257.1945869237868</c:v>
                </c:pt>
                <c:pt idx="39">
                  <c:v>265.9495129411451</c:v>
                </c:pt>
                <c:pt idx="40">
                  <c:v>274.7044389585034</c:v>
                </c:pt>
                <c:pt idx="41">
                  <c:v>283.45936497586166</c:v>
                </c:pt>
                <c:pt idx="42">
                  <c:v>292.21429099321995</c:v>
                </c:pt>
                <c:pt idx="43">
                  <c:v>300.96921701057823</c:v>
                </c:pt>
                <c:pt idx="44">
                  <c:v>309.7241430279365</c:v>
                </c:pt>
                <c:pt idx="45">
                  <c:v>318.4790690452948</c:v>
                </c:pt>
                <c:pt idx="46">
                  <c:v>327.2339950626531</c:v>
                </c:pt>
                <c:pt idx="47">
                  <c:v>335.9889210800114</c:v>
                </c:pt>
                <c:pt idx="48">
                  <c:v>344.74384709736967</c:v>
                </c:pt>
                <c:pt idx="49">
                  <c:v>353.49877311472795</c:v>
                </c:pt>
                <c:pt idx="50">
                  <c:v>362.25369913208624</c:v>
                </c:pt>
                <c:pt idx="51">
                  <c:v>371.0086251494445</c:v>
                </c:pt>
                <c:pt idx="52">
                  <c:v>379.7635511668028</c:v>
                </c:pt>
                <c:pt idx="53">
                  <c:v>388.5184771841611</c:v>
                </c:pt>
                <c:pt idx="54">
                  <c:v>397.2734032015194</c:v>
                </c:pt>
                <c:pt idx="55">
                  <c:v>406.0283292188777</c:v>
                </c:pt>
                <c:pt idx="56">
                  <c:v>414.78325523623596</c:v>
                </c:pt>
                <c:pt idx="57">
                  <c:v>423.53818125359425</c:v>
                </c:pt>
                <c:pt idx="58">
                  <c:v>432.29310727095253</c:v>
                </c:pt>
                <c:pt idx="59">
                  <c:v>441.0480332883108</c:v>
                </c:pt>
                <c:pt idx="60">
                  <c:v>449.8029593056691</c:v>
                </c:pt>
                <c:pt idx="61">
                  <c:v>458.5578853230274</c:v>
                </c:pt>
                <c:pt idx="62">
                  <c:v>467.3128113403857</c:v>
                </c:pt>
                <c:pt idx="63">
                  <c:v>476.06773735774397</c:v>
                </c:pt>
                <c:pt idx="64">
                  <c:v>484.82266337510225</c:v>
                </c:pt>
                <c:pt idx="65">
                  <c:v>493.57758939246054</c:v>
                </c:pt>
                <c:pt idx="66">
                  <c:v>502.3325154098188</c:v>
                </c:pt>
                <c:pt idx="67">
                  <c:v>511.0874414271771</c:v>
                </c:pt>
                <c:pt idx="68">
                  <c:v>519.8423674445354</c:v>
                </c:pt>
                <c:pt idx="69">
                  <c:v>528.5972934618936</c:v>
                </c:pt>
                <c:pt idx="70">
                  <c:v>537.3522194792519</c:v>
                </c:pt>
                <c:pt idx="71">
                  <c:v>546.1071454966101</c:v>
                </c:pt>
                <c:pt idx="72">
                  <c:v>554.8620715139683</c:v>
                </c:pt>
                <c:pt idx="73">
                  <c:v>563.6169975313265</c:v>
                </c:pt>
                <c:pt idx="74">
                  <c:v>572.3719235486848</c:v>
                </c:pt>
                <c:pt idx="75">
                  <c:v>581.126849566043</c:v>
                </c:pt>
                <c:pt idx="76">
                  <c:v>589.8817755834012</c:v>
                </c:pt>
                <c:pt idx="77">
                  <c:v>598.6367016007595</c:v>
                </c:pt>
                <c:pt idx="78">
                  <c:v>607.3916276181177</c:v>
                </c:pt>
                <c:pt idx="79">
                  <c:v>616.1465536354759</c:v>
                </c:pt>
                <c:pt idx="80">
                  <c:v>624.9014796528342</c:v>
                </c:pt>
                <c:pt idx="81">
                  <c:v>633.6564056701924</c:v>
                </c:pt>
                <c:pt idx="82">
                  <c:v>642.4113316875506</c:v>
                </c:pt>
                <c:pt idx="83">
                  <c:v>651.1662577049088</c:v>
                </c:pt>
                <c:pt idx="84">
                  <c:v>659.9211837222671</c:v>
                </c:pt>
                <c:pt idx="85">
                  <c:v>668.6761097396253</c:v>
                </c:pt>
                <c:pt idx="86">
                  <c:v>677.4310357569835</c:v>
                </c:pt>
                <c:pt idx="87">
                  <c:v>686.1859617743418</c:v>
                </c:pt>
                <c:pt idx="88">
                  <c:v>694.9408877917</c:v>
                </c:pt>
                <c:pt idx="89">
                  <c:v>703.6958138090582</c:v>
                </c:pt>
                <c:pt idx="90">
                  <c:v>712.4507398264165</c:v>
                </c:pt>
                <c:pt idx="91">
                  <c:v>721.2056658437747</c:v>
                </c:pt>
                <c:pt idx="92">
                  <c:v>729.9605918611329</c:v>
                </c:pt>
                <c:pt idx="93">
                  <c:v>738.7155178784911</c:v>
                </c:pt>
                <c:pt idx="94">
                  <c:v>747.4704438958494</c:v>
                </c:pt>
                <c:pt idx="95">
                  <c:v>756.2253699132076</c:v>
                </c:pt>
                <c:pt idx="96">
                  <c:v>764.9802959305658</c:v>
                </c:pt>
                <c:pt idx="97">
                  <c:v>773.7352219479241</c:v>
                </c:pt>
                <c:pt idx="98">
                  <c:v>782.4901479652823</c:v>
                </c:pt>
                <c:pt idx="99">
                  <c:v>791.2450739826405</c:v>
                </c:pt>
                <c:pt idx="100">
                  <c:v>800</c:v>
                </c:pt>
              </c:numCache>
            </c:numRef>
          </c:yVal>
          <c:smooth val="1"/>
        </c:ser>
        <c:ser>
          <c:idx val="3"/>
          <c:order val="1"/>
          <c:tx>
            <c:v>P = 50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chart'!$I$8:$I$108</c:f>
              <c:numCache>
                <c:ptCount val="101"/>
                <c:pt idx="0">
                  <c:v>0.0002918939779817363</c:v>
                </c:pt>
                <c:pt idx="1">
                  <c:v>0.3855267588786486</c:v>
                </c:pt>
                <c:pt idx="2">
                  <c:v>0.7374106784491585</c:v>
                </c:pt>
                <c:pt idx="3">
                  <c:v>1.062528318946807</c:v>
                </c:pt>
                <c:pt idx="4">
                  <c:v>1.365711749906318</c:v>
                </c:pt>
                <c:pt idx="5">
                  <c:v>1.650858156639922</c:v>
                </c:pt>
                <c:pt idx="6">
                  <c:v>1.9212878874304136</c:v>
                </c:pt>
                <c:pt idx="7">
                  <c:v>2.180067441376705</c:v>
                </c:pt>
                <c:pt idx="8">
                  <c:v>2.4303184173007395</c:v>
                </c:pt>
                <c:pt idx="9">
                  <c:v>2.675613377576774</c:v>
                </c:pt>
                <c:pt idx="10">
                  <c:v>2.9207459641753446</c:v>
                </c:pt>
                <c:pt idx="11">
                  <c:v>3.226041773150085</c:v>
                </c:pt>
                <c:pt idx="12">
                  <c:v>3.5313375821248245</c:v>
                </c:pt>
                <c:pt idx="13">
                  <c:v>3.8366333910995642</c:v>
                </c:pt>
                <c:pt idx="14">
                  <c:v>4.141929200074305</c:v>
                </c:pt>
                <c:pt idx="15">
                  <c:v>4.447225009049045</c:v>
                </c:pt>
                <c:pt idx="16">
                  <c:v>4.752520818023784</c:v>
                </c:pt>
                <c:pt idx="17">
                  <c:v>5.057816626998524</c:v>
                </c:pt>
                <c:pt idx="18">
                  <c:v>5.363112435973264</c:v>
                </c:pt>
                <c:pt idx="19">
                  <c:v>5.668408244948004</c:v>
                </c:pt>
                <c:pt idx="20">
                  <c:v>5.973704053922744</c:v>
                </c:pt>
                <c:pt idx="21">
                  <c:v>6.025900982707936</c:v>
                </c:pt>
                <c:pt idx="22">
                  <c:v>6.073190398210007</c:v>
                </c:pt>
                <c:pt idx="23">
                  <c:v>6.116933327829385</c:v>
                </c:pt>
                <c:pt idx="24">
                  <c:v>6.157924890708344</c:v>
                </c:pt>
                <c:pt idx="25">
                  <c:v>6.196680612255164</c:v>
                </c:pt>
                <c:pt idx="26">
                  <c:v>6.23356147310094</c:v>
                </c:pt>
                <c:pt idx="27">
                  <c:v>6.268835378365584</c:v>
                </c:pt>
                <c:pt idx="28">
                  <c:v>6.302710052898651</c:v>
                </c:pt>
                <c:pt idx="29">
                  <c:v>6.335351886148467</c:v>
                </c:pt>
                <c:pt idx="30">
                  <c:v>6.366897406617698</c:v>
                </c:pt>
                <c:pt idx="31">
                  <c:v>6.397460673617685</c:v>
                </c:pt>
                <c:pt idx="32">
                  <c:v>6.427138287674681</c:v>
                </c:pt>
                <c:pt idx="33">
                  <c:v>6.4560129403417</c:v>
                </c:pt>
                <c:pt idx="34">
                  <c:v>6.484156024400841</c:v>
                </c:pt>
                <c:pt idx="35">
                  <c:v>6.511629612748524</c:v>
                </c:pt>
                <c:pt idx="36">
                  <c:v>6.538487996534826</c:v>
                </c:pt>
                <c:pt idx="37">
                  <c:v>6.564778905266956</c:v>
                </c:pt>
                <c:pt idx="38">
                  <c:v>6.590544490862525</c:v>
                </c:pt>
                <c:pt idx="39">
                  <c:v>6.615822132251621</c:v>
                </c:pt>
                <c:pt idx="40">
                  <c:v>6.6406451007408975</c:v>
                </c:pt>
                <c:pt idx="41">
                  <c:v>6.665043115442517</c:v>
                </c:pt>
                <c:pt idx="42">
                  <c:v>6.689042810602119</c:v>
                </c:pt>
                <c:pt idx="43">
                  <c:v>6.712668131419745</c:v>
                </c:pt>
                <c:pt idx="44">
                  <c:v>6.735940671198114</c:v>
                </c:pt>
                <c:pt idx="45">
                  <c:v>6.758879959900702</c:v>
                </c:pt>
                <c:pt idx="46">
                  <c:v>6.781503712149823</c:v>
                </c:pt>
                <c:pt idx="47">
                  <c:v>6.8038280411385506</c:v>
                </c:pt>
                <c:pt idx="48">
                  <c:v>6.825867643731072</c:v>
                </c:pt>
                <c:pt idx="49">
                  <c:v>6.847635961089214</c:v>
                </c:pt>
                <c:pt idx="50">
                  <c:v>6.869145318420954</c:v>
                </c:pt>
                <c:pt idx="51">
                  <c:v>6.8904070468526335</c:v>
                </c:pt>
                <c:pt idx="52">
                  <c:v>6.911431589945677</c:v>
                </c:pt>
                <c:pt idx="53">
                  <c:v>6.93222859698574</c:v>
                </c:pt>
                <c:pt idx="54">
                  <c:v>6.952807004848629</c:v>
                </c:pt>
                <c:pt idx="55">
                  <c:v>6.9731751099788815</c:v>
                </c:pt>
                <c:pt idx="56">
                  <c:v>6.993340631792821</c:v>
                </c:pt>
                <c:pt idx="57">
                  <c:v>7.013310768629779</c:v>
                </c:pt>
                <c:pt idx="58">
                  <c:v>7.033092247216631</c:v>
                </c:pt>
                <c:pt idx="59">
                  <c:v>7.0526913664764095</c:v>
                </c:pt>
                <c:pt idx="60">
                  <c:v>7.072114036397657</c:v>
                </c:pt>
                <c:pt idx="61">
                  <c:v>7.091365812583949</c:v>
                </c:pt>
                <c:pt idx="62">
                  <c:v>7.110451927019742</c:v>
                </c:pt>
                <c:pt idx="63">
                  <c:v>7.129377315517548</c:v>
                </c:pt>
                <c:pt idx="64">
                  <c:v>7.148146642250194</c:v>
                </c:pt>
                <c:pt idx="65">
                  <c:v>7.166764321719332</c:v>
                </c:pt>
                <c:pt idx="66">
                  <c:v>7.185234538465915</c:v>
                </c:pt>
                <c:pt idx="67">
                  <c:v>7.203561264789314</c:v>
                </c:pt>
                <c:pt idx="68">
                  <c:v>7.22174827670775</c:v>
                </c:pt>
                <c:pt idx="69">
                  <c:v>7.2397991683635325</c:v>
                </c:pt>
                <c:pt idx="70">
                  <c:v>7.257717365051095</c:v>
                </c:pt>
                <c:pt idx="71">
                  <c:v>7.275506135023827</c:v>
                </c:pt>
                <c:pt idx="72">
                  <c:v>7.293168600216517</c:v>
                </c:pt>
                <c:pt idx="73">
                  <c:v>7.310707746003513</c:v>
                </c:pt>
                <c:pt idx="74">
                  <c:v>7.328126430098301</c:v>
                </c:pt>
                <c:pt idx="75">
                  <c:v>7.345427390687404</c:v>
                </c:pt>
                <c:pt idx="76">
                  <c:v>7.362613253880571</c:v>
                </c:pt>
                <c:pt idx="77">
                  <c:v>7.379686540549534</c:v>
                </c:pt>
                <c:pt idx="78">
                  <c:v>7.396649672619161</c:v>
                </c:pt>
                <c:pt idx="79">
                  <c:v>7.413504978867449</c:v>
                </c:pt>
                <c:pt idx="80">
                  <c:v>7.43025470028439</c:v>
                </c:pt>
                <c:pt idx="81">
                  <c:v>7.446900995033933</c:v>
                </c:pt>
                <c:pt idx="82">
                  <c:v>7.463445943058415</c:v>
                </c:pt>
                <c:pt idx="83">
                  <c:v>7.4798915503604</c:v>
                </c:pt>
                <c:pt idx="84">
                  <c:v>7.496239752992945</c:v>
                </c:pt>
                <c:pt idx="85">
                  <c:v>7.512492420786032</c:v>
                </c:pt>
                <c:pt idx="86">
                  <c:v>7.528651360833823</c:v>
                </c:pt>
                <c:pt idx="87">
                  <c:v>7.544718320764807</c:v>
                </c:pt>
                <c:pt idx="88">
                  <c:v>7.560694991814525</c:v>
                </c:pt>
                <c:pt idx="89">
                  <c:v>7.576583011718516</c:v>
                </c:pt>
                <c:pt idx="90">
                  <c:v>7.592383967441356</c:v>
                </c:pt>
                <c:pt idx="91">
                  <c:v>7.608099397755909</c:v>
                </c:pt>
                <c:pt idx="92">
                  <c:v>7.623730795685624</c:v>
                </c:pt>
                <c:pt idx="93">
                  <c:v>7.639279610821331</c:v>
                </c:pt>
                <c:pt idx="94">
                  <c:v>7.654747251522883</c:v>
                </c:pt>
                <c:pt idx="95">
                  <c:v>7.670135087015029</c:v>
                </c:pt>
                <c:pt idx="96">
                  <c:v>7.685444449385897</c:v>
                </c:pt>
                <c:pt idx="97">
                  <c:v>7.700676635495786</c:v>
                </c:pt>
                <c:pt idx="98">
                  <c:v>7.715832908803182</c:v>
                </c:pt>
                <c:pt idx="99">
                  <c:v>7.730914501114235</c:v>
                </c:pt>
                <c:pt idx="100">
                  <c:v>7.745922614261475</c:v>
                </c:pt>
              </c:numCache>
            </c:numRef>
          </c:xVal>
          <c:yVal>
            <c:numRef>
              <c:f>'data T-s chart'!$J$8:$J$108</c:f>
              <c:numCache>
                <c:ptCount val="101"/>
                <c:pt idx="0">
                  <c:v>0.01000001</c:v>
                </c:pt>
                <c:pt idx="1">
                  <c:v>26.403287127633018</c:v>
                </c:pt>
                <c:pt idx="2">
                  <c:v>52.79657424526604</c:v>
                </c:pt>
                <c:pt idx="3">
                  <c:v>79.18986136289905</c:v>
                </c:pt>
                <c:pt idx="4">
                  <c:v>105.58314848053207</c:v>
                </c:pt>
                <c:pt idx="5">
                  <c:v>131.9764355981651</c:v>
                </c:pt>
                <c:pt idx="6">
                  <c:v>158.3697227157981</c:v>
                </c:pt>
                <c:pt idx="7">
                  <c:v>184.7630098334311</c:v>
                </c:pt>
                <c:pt idx="8">
                  <c:v>211.15629695106412</c:v>
                </c:pt>
                <c:pt idx="9">
                  <c:v>237.54958406869713</c:v>
                </c:pt>
                <c:pt idx="10">
                  <c:v>263.9428711863302</c:v>
                </c:pt>
                <c:pt idx="11">
                  <c:v>263.9428711863302</c:v>
                </c:pt>
                <c:pt idx="12">
                  <c:v>263.9428711863302</c:v>
                </c:pt>
                <c:pt idx="13">
                  <c:v>263.9428711863302</c:v>
                </c:pt>
                <c:pt idx="14">
                  <c:v>263.9428711863302</c:v>
                </c:pt>
                <c:pt idx="15">
                  <c:v>263.9428711863302</c:v>
                </c:pt>
                <c:pt idx="16">
                  <c:v>263.9428711863302</c:v>
                </c:pt>
                <c:pt idx="17">
                  <c:v>263.9428711863302</c:v>
                </c:pt>
                <c:pt idx="18">
                  <c:v>263.9428711863302</c:v>
                </c:pt>
                <c:pt idx="19">
                  <c:v>263.9428711863302</c:v>
                </c:pt>
                <c:pt idx="20">
                  <c:v>263.9428711863302</c:v>
                </c:pt>
                <c:pt idx="21">
                  <c:v>270.64358529650104</c:v>
                </c:pt>
                <c:pt idx="22">
                  <c:v>277.3442994066719</c:v>
                </c:pt>
                <c:pt idx="23">
                  <c:v>284.04501351684274</c:v>
                </c:pt>
                <c:pt idx="24">
                  <c:v>290.7457276270136</c:v>
                </c:pt>
                <c:pt idx="25">
                  <c:v>297.44644173718444</c:v>
                </c:pt>
                <c:pt idx="26">
                  <c:v>304.1471558473553</c:v>
                </c:pt>
                <c:pt idx="27">
                  <c:v>310.84786995752614</c:v>
                </c:pt>
                <c:pt idx="28">
                  <c:v>317.548584067697</c:v>
                </c:pt>
                <c:pt idx="29">
                  <c:v>324.24929817786784</c:v>
                </c:pt>
                <c:pt idx="30">
                  <c:v>330.9500122880387</c:v>
                </c:pt>
                <c:pt idx="31">
                  <c:v>337.65072639820954</c:v>
                </c:pt>
                <c:pt idx="32">
                  <c:v>344.3514405083804</c:v>
                </c:pt>
                <c:pt idx="33">
                  <c:v>351.05215461855124</c:v>
                </c:pt>
                <c:pt idx="34">
                  <c:v>357.7528687287221</c:v>
                </c:pt>
                <c:pt idx="35">
                  <c:v>364.45358283889294</c:v>
                </c:pt>
                <c:pt idx="36">
                  <c:v>371.1542969490638</c:v>
                </c:pt>
                <c:pt idx="37">
                  <c:v>377.85501105923464</c:v>
                </c:pt>
                <c:pt idx="38">
                  <c:v>384.5557251694055</c:v>
                </c:pt>
                <c:pt idx="39">
                  <c:v>391.25643927957634</c:v>
                </c:pt>
                <c:pt idx="40">
                  <c:v>397.9571533897472</c:v>
                </c:pt>
                <c:pt idx="41">
                  <c:v>404.65786749991804</c:v>
                </c:pt>
                <c:pt idx="42">
                  <c:v>411.3585816100889</c:v>
                </c:pt>
                <c:pt idx="43">
                  <c:v>418.05929572025974</c:v>
                </c:pt>
                <c:pt idx="44">
                  <c:v>424.7600098304306</c:v>
                </c:pt>
                <c:pt idx="45">
                  <c:v>431.46072394060144</c:v>
                </c:pt>
                <c:pt idx="46">
                  <c:v>438.1614380507723</c:v>
                </c:pt>
                <c:pt idx="47">
                  <c:v>444.86215216094314</c:v>
                </c:pt>
                <c:pt idx="48">
                  <c:v>451.562866271114</c:v>
                </c:pt>
                <c:pt idx="49">
                  <c:v>458.26358038128484</c:v>
                </c:pt>
                <c:pt idx="50">
                  <c:v>464.9642944914557</c:v>
                </c:pt>
                <c:pt idx="51">
                  <c:v>471.66500860162654</c:v>
                </c:pt>
                <c:pt idx="52">
                  <c:v>478.3657227117974</c:v>
                </c:pt>
                <c:pt idx="53">
                  <c:v>485.06643682196824</c:v>
                </c:pt>
                <c:pt idx="54">
                  <c:v>491.7671509321391</c:v>
                </c:pt>
                <c:pt idx="55">
                  <c:v>498.46786504230994</c:v>
                </c:pt>
                <c:pt idx="56">
                  <c:v>505.1685791524808</c:v>
                </c:pt>
                <c:pt idx="57">
                  <c:v>511.86929326265164</c:v>
                </c:pt>
                <c:pt idx="58">
                  <c:v>518.5700073728225</c:v>
                </c:pt>
                <c:pt idx="59">
                  <c:v>525.2707214829934</c:v>
                </c:pt>
                <c:pt idx="60">
                  <c:v>531.9714355931643</c:v>
                </c:pt>
                <c:pt idx="61">
                  <c:v>538.6721497033352</c:v>
                </c:pt>
                <c:pt idx="62">
                  <c:v>545.3728638135061</c:v>
                </c:pt>
                <c:pt idx="63">
                  <c:v>552.073577923677</c:v>
                </c:pt>
                <c:pt idx="64">
                  <c:v>558.7742920338479</c:v>
                </c:pt>
                <c:pt idx="65">
                  <c:v>565.4750061440188</c:v>
                </c:pt>
                <c:pt idx="66">
                  <c:v>572.1757202541897</c:v>
                </c:pt>
                <c:pt idx="67">
                  <c:v>578.8764343643606</c:v>
                </c:pt>
                <c:pt idx="68">
                  <c:v>585.5771484745316</c:v>
                </c:pt>
                <c:pt idx="69">
                  <c:v>592.2778625847025</c:v>
                </c:pt>
                <c:pt idx="70">
                  <c:v>598.9785766948734</c:v>
                </c:pt>
                <c:pt idx="71">
                  <c:v>605.6792908050443</c:v>
                </c:pt>
                <c:pt idx="72">
                  <c:v>612.3800049152152</c:v>
                </c:pt>
                <c:pt idx="73">
                  <c:v>619.0807190253861</c:v>
                </c:pt>
                <c:pt idx="74">
                  <c:v>625.781433135557</c:v>
                </c:pt>
                <c:pt idx="75">
                  <c:v>632.4821472457279</c:v>
                </c:pt>
                <c:pt idx="76">
                  <c:v>639.1828613558988</c:v>
                </c:pt>
                <c:pt idx="77">
                  <c:v>645.8835754660697</c:v>
                </c:pt>
                <c:pt idx="78">
                  <c:v>652.5842895762406</c:v>
                </c:pt>
                <c:pt idx="79">
                  <c:v>659.2850036864115</c:v>
                </c:pt>
                <c:pt idx="80">
                  <c:v>665.9857177965824</c:v>
                </c:pt>
                <c:pt idx="81">
                  <c:v>672.6864319067533</c:v>
                </c:pt>
                <c:pt idx="82">
                  <c:v>679.3871460169242</c:v>
                </c:pt>
                <c:pt idx="83">
                  <c:v>686.0878601270952</c:v>
                </c:pt>
                <c:pt idx="84">
                  <c:v>692.7885742372661</c:v>
                </c:pt>
                <c:pt idx="85">
                  <c:v>699.489288347437</c:v>
                </c:pt>
                <c:pt idx="86">
                  <c:v>706.1900024576079</c:v>
                </c:pt>
                <c:pt idx="87">
                  <c:v>712.8907165677788</c:v>
                </c:pt>
                <c:pt idx="88">
                  <c:v>719.5914306779497</c:v>
                </c:pt>
                <c:pt idx="89">
                  <c:v>726.2921447881206</c:v>
                </c:pt>
                <c:pt idx="90">
                  <c:v>732.9928588982915</c:v>
                </c:pt>
                <c:pt idx="91">
                  <c:v>739.6935730084624</c:v>
                </c:pt>
                <c:pt idx="92">
                  <c:v>746.3942871186333</c:v>
                </c:pt>
                <c:pt idx="93">
                  <c:v>753.0950012288042</c:v>
                </c:pt>
                <c:pt idx="94">
                  <c:v>759.7957153389751</c:v>
                </c:pt>
                <c:pt idx="95">
                  <c:v>766.496429449146</c:v>
                </c:pt>
                <c:pt idx="96">
                  <c:v>773.1971435593169</c:v>
                </c:pt>
                <c:pt idx="97">
                  <c:v>779.8978576694878</c:v>
                </c:pt>
                <c:pt idx="98">
                  <c:v>786.5985717796588</c:v>
                </c:pt>
                <c:pt idx="99">
                  <c:v>793.2992858898297</c:v>
                </c:pt>
                <c:pt idx="100">
                  <c:v>800</c:v>
                </c:pt>
              </c:numCache>
            </c:numRef>
          </c:yVal>
          <c:smooth val="1"/>
        </c:ser>
        <c:ser>
          <c:idx val="4"/>
          <c:order val="2"/>
          <c:tx>
            <c:v>P = 220.64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chart'!$K$8:$K$108</c:f>
              <c:numCache>
                <c:ptCount val="101"/>
                <c:pt idx="0">
                  <c:v>0.0006097836017471883</c:v>
                </c:pt>
                <c:pt idx="1">
                  <c:v>0.11188526138440481</c:v>
                </c:pt>
                <c:pt idx="2">
                  <c:v>0.22024059293739992</c:v>
                </c:pt>
                <c:pt idx="3">
                  <c:v>0.32586163815837393</c:v>
                </c:pt>
                <c:pt idx="4">
                  <c:v>0.4288953020582637</c:v>
                </c:pt>
                <c:pt idx="5">
                  <c:v>0.5294722539742178</c:v>
                </c:pt>
                <c:pt idx="6">
                  <c:v>0.6277153282212082</c:v>
                </c:pt>
                <c:pt idx="7">
                  <c:v>0.7237420408266875</c:v>
                </c:pt>
                <c:pt idx="8">
                  <c:v>0.817664943655478</c:v>
                </c:pt>
                <c:pt idx="9">
                  <c:v>0.9095913836437375</c:v>
                </c:pt>
                <c:pt idx="10">
                  <c:v>0.9996232680304092</c:v>
                </c:pt>
                <c:pt idx="11">
                  <c:v>1.0878570178975653</c:v>
                </c:pt>
                <c:pt idx="12">
                  <c:v>1.174383723877921</c:v>
                </c:pt>
                <c:pt idx="13">
                  <c:v>1.2592894605036866</c:v>
                </c:pt>
                <c:pt idx="14">
                  <c:v>1.3426557050365682</c:v>
                </c:pt>
                <c:pt idx="15">
                  <c:v>1.4245598135602786</c:v>
                </c:pt>
                <c:pt idx="16">
                  <c:v>1.5050755189098188</c:v>
                </c:pt>
                <c:pt idx="17">
                  <c:v>1.5842734265258753</c:v>
                </c:pt>
                <c:pt idx="18">
                  <c:v>1.6622214938382753</c:v>
                </c:pt>
                <c:pt idx="19">
                  <c:v>1.7389854860327119</c:v>
                </c:pt>
                <c:pt idx="20">
                  <c:v>1.8146294063256563</c:v>
                </c:pt>
                <c:pt idx="21">
                  <c:v>1.8892159026062483</c:v>
                </c:pt>
                <c:pt idx="22">
                  <c:v>1.9628066549391037</c:v>
                </c:pt>
                <c:pt idx="23">
                  <c:v>2.035462750337359</c:v>
                </c:pt>
                <c:pt idx="24">
                  <c:v>2.107245052724597</c:v>
                </c:pt>
                <c:pt idx="25">
                  <c:v>2.1782145773685118</c:v>
                </c:pt>
                <c:pt idx="26">
                  <c:v>2.2484328805180067</c:v>
                </c:pt>
                <c:pt idx="27">
                  <c:v>2.3179624767347553</c:v>
                </c:pt>
                <c:pt idx="28">
                  <c:v>2.3868672987362065</c:v>
                </c:pt>
                <c:pt idx="29">
                  <c:v>2.4552132177952415</c:v>
                </c:pt>
                <c:pt idx="30">
                  <c:v>2.5230686473618666</c:v>
                </c:pt>
                <c:pt idx="31">
                  <c:v>2.5905052593473066</c:v>
                </c:pt>
                <c:pt idx="32">
                  <c:v>2.6575988526679573</c:v>
                </c:pt>
                <c:pt idx="33">
                  <c:v>2.724430429174166</c:v>
                </c:pt>
                <c:pt idx="34">
                  <c:v>2.791087556182831</c:v>
                </c:pt>
                <c:pt idx="35">
                  <c:v>2.8576661325193506</c:v>
                </c:pt>
                <c:pt idx="36">
                  <c:v>2.9242727339386496</c:v>
                </c:pt>
                <c:pt idx="37">
                  <c:v>2.9910278054846486</c:v>
                </c:pt>
                <c:pt idx="38">
                  <c:v>3.058070109827186</c:v>
                </c:pt>
                <c:pt idx="39">
                  <c:v>3.1255630591965664</c:v>
                </c:pt>
                <c:pt idx="40">
                  <c:v>3.1937039058483823</c:v>
                </c:pt>
                <c:pt idx="41">
                  <c:v>3.262737359301521</c:v>
                </c:pt>
                <c:pt idx="42">
                  <c:v>3.332976328396956</c:v>
                </c:pt>
                <c:pt idx="43">
                  <c:v>3.4048348612603654</c:v>
                </c:pt>
                <c:pt idx="44">
                  <c:v>3.47888362972465</c:v>
                </c:pt>
                <c:pt idx="45">
                  <c:v>3.5559505721321987</c:v>
                </c:pt>
                <c:pt idx="46">
                  <c:v>3.637322707906904</c:v>
                </c:pt>
                <c:pt idx="47">
                  <c:v>3.7252169117030194</c:v>
                </c:pt>
                <c:pt idx="48">
                  <c:v>3.8245686059904465</c:v>
                </c:pt>
                <c:pt idx="49">
                  <c:v>3.948649603654258</c:v>
                </c:pt>
                <c:pt idx="50">
                  <c:v>4.412021482236349</c:v>
                </c:pt>
                <c:pt idx="51">
                  <c:v>5.112178308456133</c:v>
                </c:pt>
                <c:pt idx="52">
                  <c:v>5.276589744444189</c:v>
                </c:pt>
                <c:pt idx="53">
                  <c:v>5.394093060412351</c:v>
                </c:pt>
                <c:pt idx="54">
                  <c:v>5.488363789287854</c:v>
                </c:pt>
                <c:pt idx="55">
                  <c:v>5.568364561868015</c:v>
                </c:pt>
                <c:pt idx="56">
                  <c:v>5.638705311935172</c:v>
                </c:pt>
                <c:pt idx="57">
                  <c:v>5.7019935529218575</c:v>
                </c:pt>
                <c:pt idx="58">
                  <c:v>5.759845052637963</c:v>
                </c:pt>
                <c:pt idx="59">
                  <c:v>5.813349298047169</c:v>
                </c:pt>
                <c:pt idx="60">
                  <c:v>5.8632879348235125</c:v>
                </c:pt>
                <c:pt idx="61">
                  <c:v>5.91024593642122</c:v>
                </c:pt>
                <c:pt idx="62">
                  <c:v>5.95467429006852</c:v>
                </c:pt>
                <c:pt idx="63">
                  <c:v>5.996928538342872</c:v>
                </c:pt>
                <c:pt idx="64">
                  <c:v>6.037294002904496</c:v>
                </c:pt>
                <c:pt idx="65">
                  <c:v>6.076003045783018</c:v>
                </c:pt>
                <c:pt idx="66">
                  <c:v>6.113247285022372</c:v>
                </c:pt>
                <c:pt idx="67">
                  <c:v>6.149186472184723</c:v>
                </c:pt>
                <c:pt idx="68">
                  <c:v>6.1839550853757475</c:v>
                </c:pt>
                <c:pt idx="69">
                  <c:v>6.217667314968139</c:v>
                </c:pt>
                <c:pt idx="70">
                  <c:v>6.250420891967133</c:v>
                </c:pt>
                <c:pt idx="71">
                  <c:v>6.282300066531573</c:v>
                </c:pt>
                <c:pt idx="72">
                  <c:v>6.3133779519823925</c:v>
                </c:pt>
                <c:pt idx="73">
                  <c:v>6.3437183882775106</c:v>
                </c:pt>
                <c:pt idx="74">
                  <c:v>6.373377437072896</c:v>
                </c:pt>
                <c:pt idx="75">
                  <c:v>6.402404591293391</c:v>
                </c:pt>
                <c:pt idx="76">
                  <c:v>6.430843761369772</c:v>
                </c:pt>
                <c:pt idx="77">
                  <c:v>6.458734085270404</c:v>
                </c:pt>
                <c:pt idx="78">
                  <c:v>6.486110598416496</c:v>
                </c:pt>
                <c:pt idx="79">
                  <c:v>6.513004791356128</c:v>
                </c:pt>
                <c:pt idx="80">
                  <c:v>6.539445076893807</c:v>
                </c:pt>
                <c:pt idx="81">
                  <c:v>6.565457183682173</c:v>
                </c:pt>
                <c:pt idx="82">
                  <c:v>6.591064489694321</c:v>
                </c:pt>
                <c:pt idx="83">
                  <c:v>6.616288306231562</c:v>
                </c:pt>
                <c:pt idx="84">
                  <c:v>6.641148120980308</c:v>
                </c:pt>
                <c:pt idx="85">
                  <c:v>6.665661806963589</c:v>
                </c:pt>
                <c:pt idx="86">
                  <c:v>6.689845802926298</c:v>
                </c:pt>
                <c:pt idx="87">
                  <c:v>6.713715269664716</c:v>
                </c:pt>
                <c:pt idx="88">
                  <c:v>6.737284225996639</c:v>
                </c:pt>
                <c:pt idx="89">
                  <c:v>6.7605656674203125</c:v>
                </c:pt>
                <c:pt idx="90">
                  <c:v>6.783571669991259</c:v>
                </c:pt>
                <c:pt idx="91">
                  <c:v>6.806313481527886</c:v>
                </c:pt>
                <c:pt idx="92">
                  <c:v>6.828801601917511</c:v>
                </c:pt>
                <c:pt idx="93">
                  <c:v>6.851045854017416</c:v>
                </c:pt>
                <c:pt idx="94">
                  <c:v>6.873055446417991</c:v>
                </c:pt>
                <c:pt idx="95">
                  <c:v>6.894839029146701</c:v>
                </c:pt>
                <c:pt idx="96">
                  <c:v>6.916404743234736</c:v>
                </c:pt>
                <c:pt idx="97">
                  <c:v>6.937760264937004</c:v>
                </c:pt>
                <c:pt idx="98">
                  <c:v>6.958912845285406</c:v>
                </c:pt>
                <c:pt idx="99">
                  <c:v>6.9798693455617675</c:v>
                </c:pt>
                <c:pt idx="100">
                  <c:v>7.000636269197084</c:v>
                </c:pt>
              </c:numCache>
            </c:numRef>
          </c:xVal>
          <c:yVal>
            <c:numRef>
              <c:f>'data T-s chart'!$L$8:$L$108</c:f>
              <c:numCache>
                <c:ptCount val="101"/>
                <c:pt idx="0">
                  <c:v>0.01000001</c:v>
                </c:pt>
                <c:pt idx="1">
                  <c:v>7.488720009800001</c:v>
                </c:pt>
                <c:pt idx="2">
                  <c:v>14.9674400096</c:v>
                </c:pt>
                <c:pt idx="3">
                  <c:v>22.446160009400003</c:v>
                </c:pt>
                <c:pt idx="4">
                  <c:v>29.924880009200002</c:v>
                </c:pt>
                <c:pt idx="5">
                  <c:v>37.403600009</c:v>
                </c:pt>
                <c:pt idx="6">
                  <c:v>44.8823200088</c:v>
                </c:pt>
                <c:pt idx="7">
                  <c:v>52.3610400086</c:v>
                </c:pt>
                <c:pt idx="8">
                  <c:v>59.8397600084</c:v>
                </c:pt>
                <c:pt idx="9">
                  <c:v>67.3184800082</c:v>
                </c:pt>
                <c:pt idx="10">
                  <c:v>74.797200008</c:v>
                </c:pt>
                <c:pt idx="11">
                  <c:v>82.27592000780001</c:v>
                </c:pt>
                <c:pt idx="12">
                  <c:v>89.75464000760002</c:v>
                </c:pt>
                <c:pt idx="13">
                  <c:v>97.23336000740002</c:v>
                </c:pt>
                <c:pt idx="14">
                  <c:v>104.71208000720003</c:v>
                </c:pt>
                <c:pt idx="15">
                  <c:v>112.19080000700004</c:v>
                </c:pt>
                <c:pt idx="16">
                  <c:v>119.66952000680004</c:v>
                </c:pt>
                <c:pt idx="17">
                  <c:v>127.14824000660005</c:v>
                </c:pt>
                <c:pt idx="18">
                  <c:v>134.62696000640005</c:v>
                </c:pt>
                <c:pt idx="19">
                  <c:v>142.10568000620006</c:v>
                </c:pt>
                <c:pt idx="20">
                  <c:v>149.58440000600007</c:v>
                </c:pt>
                <c:pt idx="21">
                  <c:v>157.06312000580007</c:v>
                </c:pt>
                <c:pt idx="22">
                  <c:v>164.54184000560008</c:v>
                </c:pt>
                <c:pt idx="23">
                  <c:v>172.02056000540009</c:v>
                </c:pt>
                <c:pt idx="24">
                  <c:v>179.4992800052001</c:v>
                </c:pt>
                <c:pt idx="25">
                  <c:v>186.9780000050001</c:v>
                </c:pt>
                <c:pt idx="26">
                  <c:v>194.4567200048001</c:v>
                </c:pt>
                <c:pt idx="27">
                  <c:v>201.9354400046001</c:v>
                </c:pt>
                <c:pt idx="28">
                  <c:v>209.41416000440012</c:v>
                </c:pt>
                <c:pt idx="29">
                  <c:v>216.89288000420012</c:v>
                </c:pt>
                <c:pt idx="30">
                  <c:v>224.37160000400013</c:v>
                </c:pt>
                <c:pt idx="31">
                  <c:v>231.85032000380014</c:v>
                </c:pt>
                <c:pt idx="32">
                  <c:v>239.32904000360014</c:v>
                </c:pt>
                <c:pt idx="33">
                  <c:v>246.80776000340015</c:v>
                </c:pt>
                <c:pt idx="34">
                  <c:v>254.28648000320015</c:v>
                </c:pt>
                <c:pt idx="35">
                  <c:v>261.76520000300013</c:v>
                </c:pt>
                <c:pt idx="36">
                  <c:v>269.2439200028001</c:v>
                </c:pt>
                <c:pt idx="37">
                  <c:v>276.7226400026001</c:v>
                </c:pt>
                <c:pt idx="38">
                  <c:v>284.20136000240007</c:v>
                </c:pt>
                <c:pt idx="39">
                  <c:v>291.68008000220004</c:v>
                </c:pt>
                <c:pt idx="40">
                  <c:v>299.158800002</c:v>
                </c:pt>
                <c:pt idx="41">
                  <c:v>306.6375200018</c:v>
                </c:pt>
                <c:pt idx="42">
                  <c:v>314.1162400016</c:v>
                </c:pt>
                <c:pt idx="43">
                  <c:v>321.59496000139995</c:v>
                </c:pt>
                <c:pt idx="44">
                  <c:v>329.07368000119993</c:v>
                </c:pt>
                <c:pt idx="45">
                  <c:v>336.5524000009999</c:v>
                </c:pt>
                <c:pt idx="46">
                  <c:v>344.0311200007999</c:v>
                </c:pt>
                <c:pt idx="47">
                  <c:v>351.50984000059987</c:v>
                </c:pt>
                <c:pt idx="48">
                  <c:v>358.98856000039984</c:v>
                </c:pt>
                <c:pt idx="49">
                  <c:v>366.4672800001998</c:v>
                </c:pt>
                <c:pt idx="50">
                  <c:v>373.946</c:v>
                </c:pt>
                <c:pt idx="51">
                  <c:v>382.46708</c:v>
                </c:pt>
                <c:pt idx="52">
                  <c:v>390.98816</c:v>
                </c:pt>
                <c:pt idx="53">
                  <c:v>399.50924</c:v>
                </c:pt>
                <c:pt idx="54">
                  <c:v>408.03031999999996</c:v>
                </c:pt>
                <c:pt idx="55">
                  <c:v>416.55139999999994</c:v>
                </c:pt>
                <c:pt idx="56">
                  <c:v>425.0724799999999</c:v>
                </c:pt>
                <c:pt idx="57">
                  <c:v>433.5935599999999</c:v>
                </c:pt>
                <c:pt idx="58">
                  <c:v>442.1146399999999</c:v>
                </c:pt>
                <c:pt idx="59">
                  <c:v>450.6357199999999</c:v>
                </c:pt>
                <c:pt idx="60">
                  <c:v>459.15679999999986</c:v>
                </c:pt>
                <c:pt idx="61">
                  <c:v>467.67787999999985</c:v>
                </c:pt>
                <c:pt idx="62">
                  <c:v>476.19895999999983</c:v>
                </c:pt>
                <c:pt idx="63">
                  <c:v>484.7200399999998</c:v>
                </c:pt>
                <c:pt idx="64">
                  <c:v>493.2411199999998</c:v>
                </c:pt>
                <c:pt idx="65">
                  <c:v>501.7621999999998</c:v>
                </c:pt>
                <c:pt idx="66">
                  <c:v>510.28327999999976</c:v>
                </c:pt>
                <c:pt idx="67">
                  <c:v>518.8043599999997</c:v>
                </c:pt>
                <c:pt idx="68">
                  <c:v>527.3254399999997</c:v>
                </c:pt>
                <c:pt idx="69">
                  <c:v>535.8465199999997</c:v>
                </c:pt>
                <c:pt idx="70">
                  <c:v>544.3675999999997</c:v>
                </c:pt>
                <c:pt idx="71">
                  <c:v>552.8886799999997</c:v>
                </c:pt>
                <c:pt idx="72">
                  <c:v>561.4097599999997</c:v>
                </c:pt>
                <c:pt idx="73">
                  <c:v>569.9308399999996</c:v>
                </c:pt>
                <c:pt idx="74">
                  <c:v>578.4519199999996</c:v>
                </c:pt>
                <c:pt idx="75">
                  <c:v>586.9729999999996</c:v>
                </c:pt>
                <c:pt idx="76">
                  <c:v>595.4940799999996</c:v>
                </c:pt>
                <c:pt idx="77">
                  <c:v>604.0151599999996</c:v>
                </c:pt>
                <c:pt idx="78">
                  <c:v>612.5362399999996</c:v>
                </c:pt>
                <c:pt idx="79">
                  <c:v>621.0573199999995</c:v>
                </c:pt>
                <c:pt idx="80">
                  <c:v>629.5783999999995</c:v>
                </c:pt>
                <c:pt idx="81">
                  <c:v>638.0994799999995</c:v>
                </c:pt>
                <c:pt idx="82">
                  <c:v>646.6205599999995</c:v>
                </c:pt>
                <c:pt idx="83">
                  <c:v>655.1416399999995</c:v>
                </c:pt>
                <c:pt idx="84">
                  <c:v>663.6627199999995</c:v>
                </c:pt>
                <c:pt idx="85">
                  <c:v>672.1837999999995</c:v>
                </c:pt>
                <c:pt idx="86">
                  <c:v>680.7048799999994</c:v>
                </c:pt>
                <c:pt idx="87">
                  <c:v>689.2259599999994</c:v>
                </c:pt>
                <c:pt idx="88">
                  <c:v>697.7470399999994</c:v>
                </c:pt>
                <c:pt idx="89">
                  <c:v>706.2681199999994</c:v>
                </c:pt>
                <c:pt idx="90">
                  <c:v>714.7891999999994</c:v>
                </c:pt>
                <c:pt idx="91">
                  <c:v>723.3102799999994</c:v>
                </c:pt>
                <c:pt idx="92">
                  <c:v>731.8313599999993</c:v>
                </c:pt>
                <c:pt idx="93">
                  <c:v>740.3524399999993</c:v>
                </c:pt>
                <c:pt idx="94">
                  <c:v>748.8735199999993</c:v>
                </c:pt>
                <c:pt idx="95">
                  <c:v>757.3945999999993</c:v>
                </c:pt>
                <c:pt idx="96">
                  <c:v>765.9156799999993</c:v>
                </c:pt>
                <c:pt idx="97">
                  <c:v>774.4367599999993</c:v>
                </c:pt>
                <c:pt idx="98">
                  <c:v>782.9578399999992</c:v>
                </c:pt>
                <c:pt idx="99">
                  <c:v>791.4789199999992</c:v>
                </c:pt>
                <c:pt idx="100">
                  <c:v>800</c:v>
                </c:pt>
              </c:numCache>
            </c:numRef>
          </c:yVal>
          <c:smooth val="1"/>
        </c:ser>
        <c:ser>
          <c:idx val="6"/>
          <c:order val="3"/>
          <c:tx>
            <c:v>P = 661.92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chart'!$M$8:$M$108</c:f>
              <c:numCache>
                <c:ptCount val="101"/>
                <c:pt idx="0">
                  <c:v>-0.002709384693398821</c:v>
                </c:pt>
                <c:pt idx="1">
                  <c:v>0.11245919083170254</c:v>
                </c:pt>
                <c:pt idx="2">
                  <c:v>0.22495718459263883</c:v>
                </c:pt>
                <c:pt idx="3">
                  <c:v>0.3347721954620978</c:v>
                </c:pt>
                <c:pt idx="4">
                  <c:v>0.44194428827575866</c:v>
                </c:pt>
                <c:pt idx="5">
                  <c:v>0.5465474705609137</c:v>
                </c:pt>
                <c:pt idx="6">
                  <c:v>0.6486754981598754</c:v>
                </c:pt>
                <c:pt idx="7">
                  <c:v>0.7484319192920619</c:v>
                </c:pt>
                <c:pt idx="8">
                  <c:v>0.8459235142846271</c:v>
                </c:pt>
                <c:pt idx="9">
                  <c:v>0.9412562201804205</c:v>
                </c:pt>
                <c:pt idx="10">
                  <c:v>1.034532777669226</c:v>
                </c:pt>
                <c:pt idx="11">
                  <c:v>1.1258515242460008</c:v>
                </c:pt>
                <c:pt idx="12">
                  <c:v>1.2153059218798026</c:v>
                </c:pt>
                <c:pt idx="13">
                  <c:v>1.302984535449391</c:v>
                </c:pt>
                <c:pt idx="14">
                  <c:v>1.3889712718597504</c:v>
                </c:pt>
                <c:pt idx="15">
                  <c:v>1.4733457558247112</c:v>
                </c:pt>
                <c:pt idx="16">
                  <c:v>1.5561837637498988</c:v>
                </c:pt>
                <c:pt idx="17">
                  <c:v>1.6375576677965509</c:v>
                </c:pt>
                <c:pt idx="18">
                  <c:v>1.7175368624957645</c:v>
                </c:pt>
                <c:pt idx="19">
                  <c:v>1.7961881594555176</c:v>
                </c:pt>
                <c:pt idx="20">
                  <c:v>1.8735761440564072</c:v>
                </c:pt>
                <c:pt idx="21">
                  <c:v>1.9497634931656147</c:v>
                </c:pt>
                <c:pt idx="22">
                  <c:v>2.0248112559090323</c:v>
                </c:pt>
                <c:pt idx="23">
                  <c:v>2.098779101174123</c:v>
                </c:pt>
                <c:pt idx="24">
                  <c:v>2.171725536269111</c:v>
                </c:pt>
                <c:pt idx="25">
                  <c:v>2.2437081013674938</c:v>
                </c:pt>
                <c:pt idx="26">
                  <c:v>2.3147835442315863</c:v>
                </c:pt>
                <c:pt idx="27">
                  <c:v>2.3850079793650525</c:v>
                </c:pt>
                <c:pt idx="28">
                  <c:v>2.454437035262912</c:v>
                </c:pt>
                <c:pt idx="29">
                  <c:v>2.5231259928357135</c:v>
                </c:pt>
                <c:pt idx="30">
                  <c:v>2.5911299173730176</c:v>
                </c:pt>
                <c:pt idx="31">
                  <c:v>2.658503785537302</c:v>
                </c:pt>
                <c:pt idx="32">
                  <c:v>2.7253026077634894</c:v>
                </c:pt>
                <c:pt idx="33">
                  <c:v>2.7915815449585963</c:v>
                </c:pt>
                <c:pt idx="34">
                  <c:v>2.8573960163698344</c:v>
                </c:pt>
                <c:pt idx="35">
                  <c:v>2.922801792660333</c:v>
                </c:pt>
                <c:pt idx="36">
                  <c:v>2.98785506423304</c:v>
                </c:pt>
                <c:pt idx="37">
                  <c:v>3.0526124691578715</c:v>
                </c:pt>
                <c:pt idx="38">
                  <c:v>3.117131056954819</c:v>
                </c:pt>
                <c:pt idx="39">
                  <c:v>3.181468152936674</c:v>
                </c:pt>
                <c:pt idx="40">
                  <c:v>3.245681071372533</c:v>
                </c:pt>
                <c:pt idx="41">
                  <c:v>3.3098266023697485</c:v>
                </c:pt>
                <c:pt idx="42">
                  <c:v>3.373960164268043</c:v>
                </c:pt>
                <c:pt idx="43">
                  <c:v>3.4381344666171083</c:v>
                </c:pt>
                <c:pt idx="44">
                  <c:v>3.5023661173369223</c:v>
                </c:pt>
                <c:pt idx="45">
                  <c:v>3.566870838607226</c:v>
                </c:pt>
                <c:pt idx="46">
                  <c:v>3.6317656259957403</c:v>
                </c:pt>
                <c:pt idx="47">
                  <c:v>3.697122985457736</c:v>
                </c:pt>
                <c:pt idx="48">
                  <c:v>3.763016475024005</c:v>
                </c:pt>
                <c:pt idx="49">
                  <c:v>3.8295488275020038</c:v>
                </c:pt>
                <c:pt idx="50">
                  <c:v>3.8968513056284317</c:v>
                </c:pt>
                <c:pt idx="51">
                  <c:v>3.965072559051231</c:v>
                </c:pt>
                <c:pt idx="52">
                  <c:v>4.03436433895449</c:v>
                </c:pt>
                <c:pt idx="53">
                  <c:v>4.104866101656553</c:v>
                </c:pt>
                <c:pt idx="54">
                  <c:v>4.176688112865715</c:v>
                </c:pt>
                <c:pt idx="55">
                  <c:v>4.2498918335880775</c:v>
                </c:pt>
                <c:pt idx="56">
                  <c:v>4.324466707474306</c:v>
                </c:pt>
                <c:pt idx="57">
                  <c:v>4.400304163612581</c:v>
                </c:pt>
                <c:pt idx="58">
                  <c:v>4.477173103937152</c:v>
                </c:pt>
                <c:pt idx="59">
                  <c:v>4.554705301736934</c:v>
                </c:pt>
                <c:pt idx="60">
                  <c:v>4.632402177522523</c:v>
                </c:pt>
                <c:pt idx="61">
                  <c:v>4.709670759583404</c:v>
                </c:pt>
                <c:pt idx="62">
                  <c:v>4.785885977633853</c:v>
                </c:pt>
                <c:pt idx="63">
                  <c:v>4.860462833314589</c:v>
                </c:pt>
                <c:pt idx="64">
                  <c:v>4.93291657186901</c:v>
                </c:pt>
                <c:pt idx="65">
                  <c:v>5.002895826262109</c:v>
                </c:pt>
                <c:pt idx="66">
                  <c:v>5.070225289386984</c:v>
                </c:pt>
                <c:pt idx="67">
                  <c:v>5.134561458133326</c:v>
                </c:pt>
                <c:pt idx="68">
                  <c:v>5.196192311625874</c:v>
                </c:pt>
                <c:pt idx="69">
                  <c:v>5.254943030877222</c:v>
                </c:pt>
                <c:pt idx="70">
                  <c:v>5.310948936754523</c:v>
                </c:pt>
                <c:pt idx="71">
                  <c:v>5.3644169688170615</c:v>
                </c:pt>
                <c:pt idx="72">
                  <c:v>5.415518856939506</c:v>
                </c:pt>
                <c:pt idx="73">
                  <c:v>5.464401500911573</c:v>
                </c:pt>
                <c:pt idx="74">
                  <c:v>5.511209029423421</c:v>
                </c:pt>
                <c:pt idx="75">
                  <c:v>5.556090122200906</c:v>
                </c:pt>
                <c:pt idx="76">
                  <c:v>5.59919492045426</c:v>
                </c:pt>
                <c:pt idx="77">
                  <c:v>5.640668922922759</c:v>
                </c:pt>
                <c:pt idx="78">
                  <c:v>5.680647916393752</c:v>
                </c:pt>
                <c:pt idx="79">
                  <c:v>5.719255150319367</c:v>
                </c:pt>
                <c:pt idx="80">
                  <c:v>5.756600561637738</c:v>
                </c:pt>
                <c:pt idx="81">
                  <c:v>5.7927814039702925</c:v>
                </c:pt>
                <c:pt idx="82">
                  <c:v>5.82788363421373</c:v>
                </c:pt>
                <c:pt idx="83">
                  <c:v>5.861983566509641</c:v>
                </c:pt>
                <c:pt idx="84">
                  <c:v>5.89514948184016</c:v>
                </c:pt>
                <c:pt idx="85">
                  <c:v>5.927443028859824</c:v>
                </c:pt>
                <c:pt idx="86">
                  <c:v>5.958920355489754</c:v>
                </c:pt>
                <c:pt idx="87">
                  <c:v>5.989632975088938</c:v>
                </c:pt>
                <c:pt idx="88">
                  <c:v>6.019628404805093</c:v>
                </c:pt>
                <c:pt idx="89">
                  <c:v>6.048950626541583</c:v>
                </c:pt>
                <c:pt idx="90">
                  <c:v>6.077640420906677</c:v>
                </c:pt>
                <c:pt idx="91">
                  <c:v>6.105735617572861</c:v>
                </c:pt>
                <c:pt idx="92">
                  <c:v>6.133271295791881</c:v>
                </c:pt>
                <c:pt idx="93">
                  <c:v>6.160279958948724</c:v>
                </c:pt>
                <c:pt idx="94">
                  <c:v>6.186791698392407</c:v>
                </c:pt>
                <c:pt idx="95">
                  <c:v>6.212834354950401</c:v>
                </c:pt>
                <c:pt idx="96">
                  <c:v>6.238433681607067</c:v>
                </c:pt>
                <c:pt idx="97">
                  <c:v>6.263613507609888</c:v>
                </c:pt>
                <c:pt idx="98">
                  <c:v>6.288395902433571</c:v>
                </c:pt>
                <c:pt idx="99">
                  <c:v>6.312801337222655</c:v>
                </c:pt>
                <c:pt idx="100">
                  <c:v>6.3368488412146595</c:v>
                </c:pt>
              </c:numCache>
            </c:numRef>
          </c:xVal>
          <c:yVal>
            <c:numRef>
              <c:f>'data T-s chart'!$N$8:$N$108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8"/>
          <c:order val="4"/>
          <c:tx>
            <c:v>v = 0.5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chart'!$P$8:$P$108</c:f>
              <c:numCache>
                <c:ptCount val="101"/>
                <c:pt idx="0">
                  <c:v>0.02217793328408877</c:v>
                </c:pt>
                <c:pt idx="1">
                  <c:v>0.15795698054274065</c:v>
                </c:pt>
                <c:pt idx="2">
                  <c:v>0.297152667530403</c:v>
                </c:pt>
                <c:pt idx="3">
                  <c:v>0.44287987394826056</c:v>
                </c:pt>
                <c:pt idx="4">
                  <c:v>0.5987722900272742</c:v>
                </c:pt>
                <c:pt idx="5">
                  <c:v>0.7690897661060999</c:v>
                </c:pt>
                <c:pt idx="6">
                  <c:v>0.9587704534663064</c:v>
                </c:pt>
                <c:pt idx="7">
                  <c:v>1.173446052768742</c:v>
                </c:pt>
                <c:pt idx="8">
                  <c:v>1.4194290552505597</c:v>
                </c:pt>
                <c:pt idx="9">
                  <c:v>1.703677420461167</c:v>
                </c:pt>
                <c:pt idx="10">
                  <c:v>2.0337411484780534</c:v>
                </c:pt>
                <c:pt idx="11">
                  <c:v>2.417695047760659</c:v>
                </c:pt>
                <c:pt idx="12">
                  <c:v>2.864061940648731</c:v>
                </c:pt>
                <c:pt idx="13">
                  <c:v>3.3817303104125753</c:v>
                </c:pt>
                <c:pt idx="14">
                  <c:v>3.9798699524388894</c:v>
                </c:pt>
                <c:pt idx="15">
                  <c:v>4.667848656303811</c:v>
                </c:pt>
                <c:pt idx="16">
                  <c:v>5.455152455492232</c:v>
                </c:pt>
                <c:pt idx="17">
                  <c:v>6.351311620216077</c:v>
                </c:pt>
                <c:pt idx="18">
                  <c:v>6.936991802431797</c:v>
                </c:pt>
                <c:pt idx="19">
                  <c:v>6.968610518651839</c:v>
                </c:pt>
                <c:pt idx="20">
                  <c:v>6.999138124326654</c:v>
                </c:pt>
                <c:pt idx="21">
                  <c:v>7.028770633535468</c:v>
                </c:pt>
                <c:pt idx="22">
                  <c:v>7.057624147139103</c:v>
                </c:pt>
                <c:pt idx="23">
                  <c:v>7.0857788950913205</c:v>
                </c:pt>
                <c:pt idx="24">
                  <c:v>7.113296881170099</c:v>
                </c:pt>
                <c:pt idx="25">
                  <c:v>7.140229324256753</c:v>
                </c:pt>
                <c:pt idx="26">
                  <c:v>7.166620046814699</c:v>
                </c:pt>
                <c:pt idx="27">
                  <c:v>7.192507253834712</c:v>
                </c:pt>
                <c:pt idx="28">
                  <c:v>7.217924621196832</c:v>
                </c:pt>
                <c:pt idx="29">
                  <c:v>7.242902005028628</c:v>
                </c:pt>
                <c:pt idx="30">
                  <c:v>7.26746604103801</c:v>
                </c:pt>
                <c:pt idx="31">
                  <c:v>7.291640563878698</c:v>
                </c:pt>
                <c:pt idx="32">
                  <c:v>7.31544701626187</c:v>
                </c:pt>
                <c:pt idx="33">
                  <c:v>7.338904749870829</c:v>
                </c:pt>
                <c:pt idx="34">
                  <c:v>7.362031283400109</c:v>
                </c:pt>
                <c:pt idx="35">
                  <c:v>7.384842551929674</c:v>
                </c:pt>
                <c:pt idx="36">
                  <c:v>7.407353102623047</c:v>
                </c:pt>
                <c:pt idx="37">
                  <c:v>7.42957624242391</c:v>
                </c:pt>
                <c:pt idx="38">
                  <c:v>7.4515242124291134</c:v>
                </c:pt>
                <c:pt idx="39">
                  <c:v>7.473208280438042</c:v>
                </c:pt>
                <c:pt idx="40">
                  <c:v>7.49463888508707</c:v>
                </c:pt>
                <c:pt idx="41">
                  <c:v>7.515825692263066</c:v>
                </c:pt>
                <c:pt idx="42">
                  <c:v>7.536777697743354</c:v>
                </c:pt>
                <c:pt idx="43">
                  <c:v>7.55750330711708</c:v>
                </c:pt>
                <c:pt idx="44">
                  <c:v>7.578010359789337</c:v>
                </c:pt>
                <c:pt idx="45">
                  <c:v>7.598306225891871</c:v>
                </c:pt>
                <c:pt idx="46">
                  <c:v>7.618397820215013</c:v>
                </c:pt>
                <c:pt idx="47">
                  <c:v>7.638291662172694</c:v>
                </c:pt>
                <c:pt idx="48">
                  <c:v>7.657993904337451</c:v>
                </c:pt>
                <c:pt idx="49">
                  <c:v>7.6775103616615965</c:v>
                </c:pt>
                <c:pt idx="50">
                  <c:v>7.696846556937199</c:v>
                </c:pt>
                <c:pt idx="51">
                  <c:v>7.716007716532437</c:v>
                </c:pt>
                <c:pt idx="52">
                  <c:v>7.734998814678893</c:v>
                </c:pt>
                <c:pt idx="53">
                  <c:v>7.75382458697218</c:v>
                </c:pt>
                <c:pt idx="54">
                  <c:v>7.772489547723185</c:v>
                </c:pt>
                <c:pt idx="55">
                  <c:v>7.790998004705846</c:v>
                </c:pt>
                <c:pt idx="56">
                  <c:v>7.809354077930467</c:v>
                </c:pt>
                <c:pt idx="57">
                  <c:v>7.827561700774742</c:v>
                </c:pt>
                <c:pt idx="58">
                  <c:v>7.845624653214442</c:v>
                </c:pt>
                <c:pt idx="59">
                  <c:v>7.86354654033175</c:v>
                </c:pt>
                <c:pt idx="60">
                  <c:v>7.881330836953128</c:v>
                </c:pt>
                <c:pt idx="61">
                  <c:v>7.898980866524386</c:v>
                </c:pt>
                <c:pt idx="62">
                  <c:v>7.916499824826701</c:v>
                </c:pt>
                <c:pt idx="63">
                  <c:v>7.9338907936597</c:v>
                </c:pt>
                <c:pt idx="64">
                  <c:v>7.951156724139221</c:v>
                </c:pt>
                <c:pt idx="65">
                  <c:v>7.96830046176029</c:v>
                </c:pt>
                <c:pt idx="66">
                  <c:v>7.985324746576584</c:v>
                </c:pt>
                <c:pt idx="67">
                  <c:v>8.002232218301907</c:v>
                </c:pt>
                <c:pt idx="68">
                  <c:v>8.019025417390306</c:v>
                </c:pt>
                <c:pt idx="69">
                  <c:v>8.035706807282844</c:v>
                </c:pt>
                <c:pt idx="70">
                  <c:v>8.052278745936281</c:v>
                </c:pt>
                <c:pt idx="71">
                  <c:v>8.068743518317651</c:v>
                </c:pt>
                <c:pt idx="72">
                  <c:v>8.0851033282381</c:v>
                </c:pt>
                <c:pt idx="73">
                  <c:v>8.101360308443066</c:v>
                </c:pt>
                <c:pt idx="74">
                  <c:v>8.11751651099075</c:v>
                </c:pt>
                <c:pt idx="75">
                  <c:v>8.133573927894531</c:v>
                </c:pt>
                <c:pt idx="76">
                  <c:v>8.149534477399946</c:v>
                </c:pt>
                <c:pt idx="77">
                  <c:v>8.165400018790866</c:v>
                </c:pt>
                <c:pt idx="78">
                  <c:v>8.18117234969991</c:v>
                </c:pt>
                <c:pt idx="79">
                  <c:v>8.196853209796863</c:v>
                </c:pt>
                <c:pt idx="80">
                  <c:v>8.212444283286231</c:v>
                </c:pt>
                <c:pt idx="81">
                  <c:v>8.22794720131049</c:v>
                </c:pt>
                <c:pt idx="82">
                  <c:v>8.243363544267845</c:v>
                </c:pt>
                <c:pt idx="83">
                  <c:v>8.258694844052577</c:v>
                </c:pt>
                <c:pt idx="84">
                  <c:v>8.27394259168922</c:v>
                </c:pt>
                <c:pt idx="85">
                  <c:v>8.289108220740403</c:v>
                </c:pt>
                <c:pt idx="86">
                  <c:v>8.304193133977252</c:v>
                </c:pt>
                <c:pt idx="87">
                  <c:v>8.319198690724221</c:v>
                </c:pt>
                <c:pt idx="88">
                  <c:v>8.334126212114457</c:v>
                </c:pt>
                <c:pt idx="89">
                  <c:v>8.348976982989393</c:v>
                </c:pt>
                <c:pt idx="90">
                  <c:v>8.363752253756322</c:v>
                </c:pt>
                <c:pt idx="91">
                  <c:v>8.37845324220753</c:v>
                </c:pt>
                <c:pt idx="92">
                  <c:v>8.393081135303989</c:v>
                </c:pt>
                <c:pt idx="93">
                  <c:v>8.407637090926496</c:v>
                </c:pt>
                <c:pt idx="94">
                  <c:v>8.422122239596757</c:v>
                </c:pt>
                <c:pt idx="95">
                  <c:v>8.436537686170816</c:v>
                </c:pt>
                <c:pt idx="96">
                  <c:v>8.450884511506882</c:v>
                </c:pt>
                <c:pt idx="97">
                  <c:v>8.465163774109621</c:v>
                </c:pt>
                <c:pt idx="98">
                  <c:v>8.47937651175255</c:v>
                </c:pt>
                <c:pt idx="99">
                  <c:v>8.493523743080301</c:v>
                </c:pt>
                <c:pt idx="100">
                  <c:v>8.507606469192126</c:v>
                </c:pt>
              </c:numCache>
            </c:numRef>
          </c:xVal>
          <c:yVal>
            <c:numRef>
              <c:f>'data T-s chart'!$Q$8:$Q$108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7"/>
          <c:order val="5"/>
          <c:tx>
            <c:v>v = 0.01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chart'!$R$8:$R$108</c:f>
              <c:numCache>
                <c:ptCount val="101"/>
                <c:pt idx="0">
                  <c:v>0.0003999334538499642</c:v>
                </c:pt>
                <c:pt idx="1">
                  <c:v>0.12213732394020355</c:v>
                </c:pt>
                <c:pt idx="2">
                  <c:v>0.2401714732679421</c:v>
                </c:pt>
                <c:pt idx="3">
                  <c:v>0.3549558272338481</c:v>
                </c:pt>
                <c:pt idx="4">
                  <c:v>0.46683290500704033</c:v>
                </c:pt>
                <c:pt idx="5">
                  <c:v>0.5760980126445788</c:v>
                </c:pt>
                <c:pt idx="6">
                  <c:v>0.6830270979922869</c:v>
                </c:pt>
                <c:pt idx="7">
                  <c:v>0.7878886995611393</c:v>
                </c:pt>
                <c:pt idx="8">
                  <c:v>0.8909488765760837</c:v>
                </c:pt>
                <c:pt idx="9">
                  <c:v>0.992473051202694</c:v>
                </c:pt>
                <c:pt idx="10">
                  <c:v>1.092726482997244</c:v>
                </c:pt>
                <c:pt idx="11">
                  <c:v>1.1919741209307388</c:v>
                </c:pt>
                <c:pt idx="12">
                  <c:v>1.2904801571372138</c:v>
                </c:pt>
                <c:pt idx="13">
                  <c:v>1.3885074291626764</c:v>
                </c:pt>
                <c:pt idx="14">
                  <c:v>1.486316744786235</c:v>
                </c:pt>
                <c:pt idx="15">
                  <c:v>1.584166174643282</c:v>
                </c:pt>
                <c:pt idx="16">
                  <c:v>1.6823103474909764</c:v>
                </c:pt>
                <c:pt idx="17">
                  <c:v>1.7809997804770152</c:v>
                </c:pt>
                <c:pt idx="18">
                  <c:v>1.8804802769742568</c:v>
                </c:pt>
                <c:pt idx="19">
                  <c:v>1.9809924239635757</c:v>
                </c:pt>
                <c:pt idx="20">
                  <c:v>2.0827712176281112</c:v>
                </c:pt>
                <c:pt idx="21">
                  <c:v>2.186045840099694</c:v>
                </c:pt>
                <c:pt idx="22">
                  <c:v>2.291039604783861</c:v>
                </c:pt>
                <c:pt idx="23">
                  <c:v>2.3979700856565676</c:v>
                </c:pt>
                <c:pt idx="24">
                  <c:v>2.50704944877795</c:v>
                </c:pt>
                <c:pt idx="25">
                  <c:v>2.618485009851444</c:v>
                </c:pt>
                <c:pt idx="26">
                  <c:v>2.732480045048866</c:v>
                </c:pt>
                <c:pt idx="27">
                  <c:v>2.8492348794176277</c:v>
                </c:pt>
                <c:pt idx="28">
                  <c:v>2.9689482694317695</c:v>
                </c:pt>
                <c:pt idx="29">
                  <c:v>3.091819093525542</c:v>
                </c:pt>
                <c:pt idx="30">
                  <c:v>3.2180483835208125</c:v>
                </c:pt>
                <c:pt idx="31">
                  <c:v>3.3478417883929206</c:v>
                </c:pt>
                <c:pt idx="32">
                  <c:v>3.4814126706838997</c:v>
                </c:pt>
                <c:pt idx="33">
                  <c:v>3.6189861914924473</c:v>
                </c:pt>
                <c:pt idx="34">
                  <c:v>3.7608049145944493</c:v>
                </c:pt>
                <c:pt idx="35">
                  <c:v>3.9071365937435507</c:v>
                </c:pt>
                <c:pt idx="36">
                  <c:v>4.058284834921729</c:v>
                </c:pt>
                <c:pt idx="37">
                  <c:v>4.2146033144071176</c:v>
                </c:pt>
                <c:pt idx="38">
                  <c:v>4.376514659016269</c:v>
                </c:pt>
                <c:pt idx="39">
                  <c:v>4.544537051242221</c:v>
                </c:pt>
                <c:pt idx="40">
                  <c:v>4.719326325701244</c:v>
                </c:pt>
                <c:pt idx="41">
                  <c:v>4.901747903498039</c:v>
                </c:pt>
                <c:pt idx="42">
                  <c:v>5.09299423131513</c:v>
                </c:pt>
                <c:pt idx="43">
                  <c:v>5.291487232237282</c:v>
                </c:pt>
                <c:pt idx="44">
                  <c:v>5.336182132106918</c:v>
                </c:pt>
                <c:pt idx="45">
                  <c:v>5.377657229123332</c:v>
                </c:pt>
                <c:pt idx="46">
                  <c:v>5.416815480964764</c:v>
                </c:pt>
                <c:pt idx="47">
                  <c:v>5.454081312226343</c:v>
                </c:pt>
                <c:pt idx="48">
                  <c:v>5.4896606015129334</c:v>
                </c:pt>
                <c:pt idx="49">
                  <c:v>5.523708428011644</c:v>
                </c:pt>
                <c:pt idx="50">
                  <c:v>5.556381780837038</c:v>
                </c:pt>
                <c:pt idx="51">
                  <c:v>5.5878361561457925</c:v>
                </c:pt>
                <c:pt idx="52">
                  <c:v>5.61821159626469</c:v>
                </c:pt>
                <c:pt idx="53">
                  <c:v>5.647625527007993</c:v>
                </c:pt>
                <c:pt idx="54">
                  <c:v>5.676173159004835</c:v>
                </c:pt>
                <c:pt idx="55">
                  <c:v>5.703931519733507</c:v>
                </c:pt>
                <c:pt idx="56">
                  <c:v>5.730963997367951</c:v>
                </c:pt>
                <c:pt idx="57">
                  <c:v>5.757324050126982</c:v>
                </c:pt>
                <c:pt idx="58">
                  <c:v>5.783057883772717</c:v>
                </c:pt>
                <c:pt idx="59">
                  <c:v>5.808206259095736</c:v>
                </c:pt>
                <c:pt idx="60">
                  <c:v>5.832805768929081</c:v>
                </c:pt>
                <c:pt idx="61">
                  <c:v>5.856889718818574</c:v>
                </c:pt>
                <c:pt idx="62">
                  <c:v>5.880488727333747</c:v>
                </c:pt>
                <c:pt idx="63">
                  <c:v>5.903631195691137</c:v>
                </c:pt>
                <c:pt idx="64">
                  <c:v>5.926343571152674</c:v>
                </c:pt>
                <c:pt idx="65">
                  <c:v>5.948650577442338</c:v>
                </c:pt>
                <c:pt idx="66">
                  <c:v>5.970575332093928</c:v>
                </c:pt>
                <c:pt idx="67">
                  <c:v>5.992139430247198</c:v>
                </c:pt>
                <c:pt idx="68">
                  <c:v>6.013363023861915</c:v>
                </c:pt>
                <c:pt idx="69">
                  <c:v>6.034264835239551</c:v>
                </c:pt>
                <c:pt idx="70">
                  <c:v>6.054862226522566</c:v>
                </c:pt>
                <c:pt idx="71">
                  <c:v>6.075171241094945</c:v>
                </c:pt>
                <c:pt idx="72">
                  <c:v>6.095206659003988</c:v>
                </c:pt>
                <c:pt idx="73">
                  <c:v>6.114982060522818</c:v>
                </c:pt>
                <c:pt idx="74">
                  <c:v>6.134509897361115</c:v>
                </c:pt>
                <c:pt idx="75">
                  <c:v>6.153801570133446</c:v>
                </c:pt>
                <c:pt idx="76">
                  <c:v>6.17286751016618</c:v>
                </c:pt>
                <c:pt idx="77">
                  <c:v>6.191717263340768</c:v>
                </c:pt>
                <c:pt idx="78">
                  <c:v>6.210359574169083</c:v>
                </c:pt>
                <c:pt idx="79">
                  <c:v>6.228802468041675</c:v>
                </c:pt>
                <c:pt idx="80">
                  <c:v>6.247053330116648</c:v>
                </c:pt>
                <c:pt idx="81">
                  <c:v>6.265118979607544</c:v>
                </c:pt>
                <c:pt idx="82">
                  <c:v>6.283005738580671</c:v>
                </c:pt>
                <c:pt idx="83">
                  <c:v>6.3007194947102345</c:v>
                </c:pt>
                <c:pt idx="84">
                  <c:v>6.318265757745667</c:v>
                </c:pt>
                <c:pt idx="85">
                  <c:v>6.335649709709099</c:v>
                </c:pt>
                <c:pt idx="86">
                  <c:v>6.352876249056195</c:v>
                </c:pt>
                <c:pt idx="87">
                  <c:v>6.369950029199054</c:v>
                </c:pt>
                <c:pt idx="88">
                  <c:v>6.38687549190687</c:v>
                </c:pt>
                <c:pt idx="89">
                  <c:v>6.403656896173006</c:v>
                </c:pt>
                <c:pt idx="90">
                  <c:v>6.420298343170721</c:v>
                </c:pt>
                <c:pt idx="91">
                  <c:v>6.436803797921183</c:v>
                </c:pt>
                <c:pt idx="92">
                  <c:v>6.4531771082729215</c:v>
                </c:pt>
                <c:pt idx="93">
                  <c:v>6.469422021748758</c:v>
                </c:pt>
                <c:pt idx="94">
                  <c:v>6.485542200760534</c:v>
                </c:pt>
                <c:pt idx="95">
                  <c:v>6.501541242542661</c:v>
                </c:pt>
                <c:pt idx="96">
                  <c:v>6.517422669269895</c:v>
                </c:pt>
                <c:pt idx="97">
                  <c:v>6.53318997450299</c:v>
                </c:pt>
                <c:pt idx="98">
                  <c:v>6.5488466137139385</c:v>
                </c:pt>
                <c:pt idx="99">
                  <c:v>6.564396022026496</c:v>
                </c:pt>
                <c:pt idx="100">
                  <c:v>6.579841626742536</c:v>
                </c:pt>
              </c:numCache>
            </c:numRef>
          </c:xVal>
          <c:yVal>
            <c:numRef>
              <c:f>'data T-s chart'!$S$8:$S$108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5"/>
          <c:order val="6"/>
          <c:tx>
            <c:v>v = 0.00311 m3/kg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chart'!$T$8:$T$89</c:f>
              <c:numCache>
                <c:ptCount val="82"/>
                <c:pt idx="0">
                  <c:v>9.351211006031951E-05</c:v>
                </c:pt>
                <c:pt idx="1">
                  <c:v>0.1216333333351989</c:v>
                </c:pt>
                <c:pt idx="2">
                  <c:v>0.23936973508019546</c:v>
                </c:pt>
                <c:pt idx="3">
                  <c:v>0.35371871616967016</c:v>
                </c:pt>
                <c:pt idx="4">
                  <c:v>0.4649764882574845</c:v>
                </c:pt>
                <c:pt idx="5">
                  <c:v>0.5733825753731593</c:v>
                </c:pt>
                <c:pt idx="6">
                  <c:v>0.6791473271141507</c:v>
                </c:pt>
                <c:pt idx="7">
                  <c:v>0.7824638210966895</c:v>
                </c:pt>
                <c:pt idx="8">
                  <c:v>0.8835130418907159</c:v>
                </c:pt>
                <c:pt idx="9">
                  <c:v>0.982466246159255</c:v>
                </c:pt>
                <c:pt idx="10">
                  <c:v>1.0794861955250206</c:v>
                </c:pt>
                <c:pt idx="11">
                  <c:v>1.1747279524837722</c:v>
                </c:pt>
                <c:pt idx="12">
                  <c:v>1.2683395083896187</c:v>
                </c:pt>
                <c:pt idx="13">
                  <c:v>1.360462336017951</c:v>
                </c:pt>
                <c:pt idx="14">
                  <c:v>1.4512318916933913</c:v>
                </c:pt>
                <c:pt idx="15">
                  <c:v>1.5407780702619511</c:v>
                </c:pt>
                <c:pt idx="16">
                  <c:v>1.6292256125450848</c:v>
                </c:pt>
                <c:pt idx="17">
                  <c:v>1.7166944674828415</c:v>
                </c:pt>
                <c:pt idx="18">
                  <c:v>1.8033001149446894</c:v>
                </c:pt>
                <c:pt idx="19">
                  <c:v>1.889153858038095</c:v>
                </c:pt>
                <c:pt idx="20">
                  <c:v>1.9743630949479472</c:v>
                </c:pt>
                <c:pt idx="21">
                  <c:v>2.0590315800933965</c:v>
                </c:pt>
                <c:pt idx="22">
                  <c:v>2.1432596835283024</c:v>
                </c:pt>
                <c:pt idx="23">
                  <c:v>2.227144657030236</c:v>
                </c:pt>
                <c:pt idx="24">
                  <c:v>2.310780915777338</c:v>
                </c:pt>
                <c:pt idx="25">
                  <c:v>2.3942603456781377</c:v>
                </c:pt>
                <c:pt idx="26">
                  <c:v>2.4776726475269992</c:v>
                </c:pt>
                <c:pt idx="27">
                  <c:v>2.561105729719427</c:v>
                </c:pt>
                <c:pt idx="28">
                  <c:v>2.6446461620665627</c:v>
                </c:pt>
                <c:pt idx="29">
                  <c:v>2.7283797068235787</c:v>
                </c:pt>
                <c:pt idx="30">
                  <c:v>2.8123919530509154</c:v>
                </c:pt>
                <c:pt idx="31">
                  <c:v>2.896769100093756</c:v>
                </c:pt>
                <c:pt idx="32">
                  <c:v>2.981598966251436</c:v>
                </c:pt>
                <c:pt idx="33">
                  <c:v>3.0669723362451204</c:v>
                </c:pt>
                <c:pt idx="34">
                  <c:v>3.1529847944634555</c:v>
                </c:pt>
                <c:pt idx="35">
                  <c:v>3.2397391947722864</c:v>
                </c:pt>
                <c:pt idx="36">
                  <c:v>3.327348853490264</c:v>
                </c:pt>
                <c:pt idx="37">
                  <c:v>3.4159414066198304</c:v>
                </c:pt>
                <c:pt idx="38">
                  <c:v>3.5056631837519405</c:v>
                </c:pt>
                <c:pt idx="39">
                  <c:v>3.5966844529518305</c:v>
                </c:pt>
                <c:pt idx="40">
                  <c:v>3.689208129286134</c:v>
                </c:pt>
                <c:pt idx="41">
                  <c:v>3.7834897730521635</c:v>
                </c:pt>
                <c:pt idx="42">
                  <c:v>3.8798833554769776</c:v>
                </c:pt>
                <c:pt idx="43">
                  <c:v>3.978923307719548</c:v>
                </c:pt>
                <c:pt idx="44">
                  <c:v>4.081439710891255</c:v>
                </c:pt>
                <c:pt idx="45">
                  <c:v>4.188931330798761</c:v>
                </c:pt>
                <c:pt idx="46">
                  <c:v>4.304914082003826</c:v>
                </c:pt>
                <c:pt idx="47">
                  <c:v>4.426228251931052</c:v>
                </c:pt>
                <c:pt idx="48">
                  <c:v>4.477505131711781</c:v>
                </c:pt>
                <c:pt idx="49">
                  <c:v>4.523916505804877</c:v>
                </c:pt>
                <c:pt idx="50">
                  <c:v>4.566796632392663</c:v>
                </c:pt>
                <c:pt idx="51">
                  <c:v>4.607053763811123</c:v>
                </c:pt>
                <c:pt idx="52">
                  <c:v>4.645302859515715</c:v>
                </c:pt>
                <c:pt idx="53">
                  <c:v>4.6819588132197865</c:v>
                </c:pt>
                <c:pt idx="54">
                  <c:v>4.717301516976587</c:v>
                </c:pt>
                <c:pt idx="55">
                  <c:v>4.7515209162206595</c:v>
                </c:pt>
                <c:pt idx="56">
                  <c:v>4.784747915237327</c:v>
                </c:pt>
                <c:pt idx="57">
                  <c:v>4.8170753327433875</c:v>
                </c:pt>
                <c:pt idx="58">
                  <c:v>4.848571908214587</c:v>
                </c:pt>
                <c:pt idx="59">
                  <c:v>4.879291494799919</c:v>
                </c:pt>
                <c:pt idx="60">
                  <c:v>4.909278952184709</c:v>
                </c:pt>
                <c:pt idx="61">
                  <c:v>4.9385738057924415</c:v>
                </c:pt>
                <c:pt idx="62">
                  <c:v>4.967212418709888</c:v>
                </c:pt>
                <c:pt idx="63">
                  <c:v>4.995229194430182</c:v>
                </c:pt>
                <c:pt idx="64">
                  <c:v>5.022657166350124</c:v>
                </c:pt>
                <c:pt idx="65">
                  <c:v>5.049528215377809</c:v>
                </c:pt>
                <c:pt idx="66">
                  <c:v>5.075931960233759</c:v>
                </c:pt>
                <c:pt idx="67">
                  <c:v>5.101728365966509</c:v>
                </c:pt>
                <c:pt idx="68">
                  <c:v>5.127094902709042</c:v>
                </c:pt>
                <c:pt idx="69">
                  <c:v>5.152035700087619</c:v>
                </c:pt>
                <c:pt idx="70">
                  <c:v>5.176547169263934</c:v>
                </c:pt>
                <c:pt idx="71">
                  <c:v>5.200642597779036</c:v>
                </c:pt>
                <c:pt idx="72">
                  <c:v>5.224353414237874</c:v>
                </c:pt>
                <c:pt idx="73">
                  <c:v>5.247718683456184</c:v>
                </c:pt>
                <c:pt idx="74">
                  <c:v>5.270773057094531</c:v>
                </c:pt>
                <c:pt idx="75">
                  <c:v>5.29353892122008</c:v>
                </c:pt>
                <c:pt idx="76">
                  <c:v>5.316024188269703</c:v>
                </c:pt>
                <c:pt idx="77">
                  <c:v>5.338224678401559</c:v>
                </c:pt>
                <c:pt idx="78">
                  <c:v>5.360129190490591</c:v>
                </c:pt>
                <c:pt idx="79">
                  <c:v>5.381725420529588</c:v>
                </c:pt>
                <c:pt idx="80">
                  <c:v>5.403005289349749</c:v>
                </c:pt>
                <c:pt idx="81">
                  <c:v>5.42396874497792</c:v>
                </c:pt>
              </c:numCache>
            </c:numRef>
          </c:xVal>
          <c:yVal>
            <c:numRef>
              <c:f>'data T-s chart'!$U$8:$U$89</c:f>
              <c:numCache>
                <c:ptCount val="82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</c:numCache>
            </c:numRef>
          </c:yVal>
          <c:smooth val="1"/>
        </c:ser>
        <c:ser>
          <c:idx val="9"/>
          <c:order val="7"/>
          <c:tx>
            <c:v>v = 0.002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chart'!$V$8:$V$72</c:f>
              <c:numCache>
                <c:ptCount val="65"/>
                <c:pt idx="0">
                  <c:v>4.437427294810623E-05</c:v>
                </c:pt>
                <c:pt idx="1">
                  <c:v>0.12155251322016213</c:v>
                </c:pt>
                <c:pt idx="2">
                  <c:v>0.23924116805549375</c:v>
                </c:pt>
                <c:pt idx="3">
                  <c:v>0.3535203325936128</c:v>
                </c:pt>
                <c:pt idx="4">
                  <c:v>0.4646787925985467</c:v>
                </c:pt>
                <c:pt idx="5">
                  <c:v>0.5729471268737785</c:v>
                </c:pt>
                <c:pt idx="6">
                  <c:v>0.6785251656580172</c:v>
                </c:pt>
                <c:pt idx="7">
                  <c:v>0.7815938856312192</c:v>
                </c:pt>
                <c:pt idx="8">
                  <c:v>0.8823206287609902</c:v>
                </c:pt>
                <c:pt idx="9">
                  <c:v>0.9808615512964333</c:v>
                </c:pt>
                <c:pt idx="10">
                  <c:v>1.0773629782547</c:v>
                </c:pt>
                <c:pt idx="11">
                  <c:v>1.1719623506967811</c:v>
                </c:pt>
                <c:pt idx="12">
                  <c:v>1.264789025977842</c:v>
                </c:pt>
                <c:pt idx="13">
                  <c:v>1.3559650147749231</c:v>
                </c:pt>
                <c:pt idx="14">
                  <c:v>1.4456056720082326</c:v>
                </c:pt>
                <c:pt idx="15">
                  <c:v>1.533820338208008</c:v>
                </c:pt>
                <c:pt idx="16">
                  <c:v>1.6207129253195274</c:v>
                </c:pt>
                <c:pt idx="17">
                  <c:v>1.70638244431801</c:v>
                </c:pt>
                <c:pt idx="18">
                  <c:v>1.790923476348957</c:v>
                </c:pt>
                <c:pt idx="19">
                  <c:v>1.8744265925113064</c:v>
                </c:pt>
                <c:pt idx="20">
                  <c:v>1.9569787293289658</c:v>
                </c:pt>
                <c:pt idx="21">
                  <c:v>2.038663527587882</c:v>
                </c:pt>
                <c:pt idx="22">
                  <c:v>2.1195616421017354</c:v>
                </c:pt>
                <c:pt idx="23">
                  <c:v>2.1997510297370044</c:v>
                </c:pt>
                <c:pt idx="24">
                  <c:v>2.2793072230979603</c:v>
                </c:pt>
                <c:pt idx="25">
                  <c:v>2.3583035977296256</c:v>
                </c:pt>
                <c:pt idx="26">
                  <c:v>2.436811641437907</c:v>
                </c:pt>
                <c:pt idx="27">
                  <c:v>2.5149012354434994</c:v>
                </c:pt>
                <c:pt idx="28">
                  <c:v>2.5926409592638535</c:v>
                </c:pt>
                <c:pt idx="29">
                  <c:v>2.6700984358029034</c:v>
                </c:pt>
                <c:pt idx="30">
                  <c:v>2.7473407416782654</c:v>
                </c:pt>
                <c:pt idx="31">
                  <c:v>2.8244349212493853</c:v>
                </c:pt>
                <c:pt idx="32">
                  <c:v>2.9014486604955994</c:v>
                </c:pt>
                <c:pt idx="33">
                  <c:v>2.978451195493747</c:v>
                </c:pt>
                <c:pt idx="34">
                  <c:v>3.055514540964972</c:v>
                </c:pt>
                <c:pt idx="35">
                  <c:v>3.132715107369687</c:v>
                </c:pt>
                <c:pt idx="36">
                  <c:v>3.2101356961075607</c:v>
                </c:pt>
                <c:pt idx="37">
                  <c:v>3.2878676952809682</c:v>
                </c:pt>
                <c:pt idx="38">
                  <c:v>3.3660131273582015</c:v>
                </c:pt>
                <c:pt idx="39">
                  <c:v>3.4446864687214793</c:v>
                </c:pt>
                <c:pt idx="40">
                  <c:v>3.5240180040952427</c:v>
                </c:pt>
                <c:pt idx="41">
                  <c:v>3.6041654962779597</c:v>
                </c:pt>
                <c:pt idx="42">
                  <c:v>3.685348458270499</c:v>
                </c:pt>
                <c:pt idx="43">
                  <c:v>3.7679177004012887</c:v>
                </c:pt>
                <c:pt idx="44">
                  <c:v>3.852484724879702</c:v>
                </c:pt>
                <c:pt idx="45">
                  <c:v>3.940153493707623</c:v>
                </c:pt>
                <c:pt idx="46">
                  <c:v>4.009675883870647</c:v>
                </c:pt>
                <c:pt idx="47">
                  <c:v>4.0501157547227375</c:v>
                </c:pt>
                <c:pt idx="48">
                  <c:v>4.088760558861121</c:v>
                </c:pt>
                <c:pt idx="49">
                  <c:v>4.126008416488493</c:v>
                </c:pt>
                <c:pt idx="50">
                  <c:v>4.162124926971245</c:v>
                </c:pt>
                <c:pt idx="51">
                  <c:v>4.197283146970372</c:v>
                </c:pt>
                <c:pt idx="52">
                  <c:v>4.231593964826052</c:v>
                </c:pt>
                <c:pt idx="53">
                  <c:v>4.265128403086752</c:v>
                </c:pt>
                <c:pt idx="54">
                  <c:v>4.297933448954619</c:v>
                </c:pt>
                <c:pt idx="55">
                  <c:v>4.330042881108968</c:v>
                </c:pt>
                <c:pt idx="56">
                  <c:v>4.361484347575927</c:v>
                </c:pt>
                <c:pt idx="57">
                  <c:v>4.392283717042776</c:v>
                </c:pt>
                <c:pt idx="58">
                  <c:v>4.422467507845131</c:v>
                </c:pt>
                <c:pt idx="59">
                  <c:v>4.4520640091302175</c:v>
                </c:pt>
                <c:pt idx="60">
                  <c:v>4.481103551610286</c:v>
                </c:pt>
                <c:pt idx="61">
                  <c:v>4.509618259754759</c:v>
                </c:pt>
                <c:pt idx="62">
                  <c:v>4.537641519650007</c:v>
                </c:pt>
                <c:pt idx="63">
                  <c:v>4.565207322646402</c:v>
                </c:pt>
                <c:pt idx="64">
                  <c:v>4.592349589876828</c:v>
                </c:pt>
              </c:numCache>
            </c:numRef>
          </c:xVal>
          <c:yVal>
            <c:numRef>
              <c:f>'data T-s chart'!$W$8:$W$72</c:f>
              <c:numCache>
                <c:ptCount val="65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</c:numCache>
            </c:numRef>
          </c:yVal>
          <c:smooth val="1"/>
        </c:ser>
        <c:ser>
          <c:idx val="10"/>
          <c:order val="8"/>
          <c:tx>
            <c:v>h = 1000kJ/kg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chart'!$AG$8:$AG$53</c:f>
              <c:numCache>
                <c:ptCount val="46"/>
                <c:pt idx="0">
                  <c:v>2.4818485123920895</c:v>
                </c:pt>
                <c:pt idx="1">
                  <c:v>2.5107438477472557</c:v>
                </c:pt>
                <c:pt idx="2">
                  <c:v>2.5398980846904196</c:v>
                </c:pt>
                <c:pt idx="3">
                  <c:v>2.5693466116038493</c:v>
                </c:pt>
                <c:pt idx="4">
                  <c:v>2.5991322039762035</c:v>
                </c:pt>
                <c:pt idx="5">
                  <c:v>2.6293080112045017</c:v>
                </c:pt>
                <c:pt idx="6">
                  <c:v>2.629721534482105</c:v>
                </c:pt>
                <c:pt idx="7">
                  <c:v>2.6302899129941286</c:v>
                </c:pt>
                <c:pt idx="8">
                  <c:v>2.631036196098612</c:v>
                </c:pt>
                <c:pt idx="9">
                  <c:v>2.6319881330313772</c:v>
                </c:pt>
                <c:pt idx="10">
                  <c:v>2.6331794655269767</c:v>
                </c:pt>
                <c:pt idx="11">
                  <c:v>2.6346516836672422</c:v>
                </c:pt>
                <c:pt idx="12">
                  <c:v>2.63645645573529</c:v>
                </c:pt>
                <c:pt idx="13">
                  <c:v>2.6386590624876147</c:v>
                </c:pt>
                <c:pt idx="14">
                  <c:v>2.641343369621646</c:v>
                </c:pt>
                <c:pt idx="15">
                  <c:v>2.644619231091488</c:v>
                </c:pt>
                <c:pt idx="16">
                  <c:v>2.64863387728452</c:v>
                </c:pt>
                <c:pt idx="17">
                  <c:v>2.653590124476289</c:v>
                </c:pt>
                <c:pt idx="18">
                  <c:v>2.6597768840743385</c:v>
                </c:pt>
                <c:pt idx="19">
                  <c:v>2.6676233098905113</c:v>
                </c:pt>
                <c:pt idx="20">
                  <c:v>2.6778021672634953</c:v>
                </c:pt>
                <c:pt idx="21">
                  <c:v>2.691446986273165</c:v>
                </c:pt>
                <c:pt idx="22">
                  <c:v>2.7106726568595754</c:v>
                </c:pt>
                <c:pt idx="23">
                  <c:v>2.740095162806178</c:v>
                </c:pt>
                <c:pt idx="24">
                  <c:v>2.7930515089481203</c:v>
                </c:pt>
                <c:pt idx="25">
                  <c:v>2.9516072107422398</c:v>
                </c:pt>
                <c:pt idx="26">
                  <c:v>2.9582595991380325</c:v>
                </c:pt>
                <c:pt idx="27">
                  <c:v>2.9653160884052414</c:v>
                </c:pt>
                <c:pt idx="28">
                  <c:v>2.9728244729025937</c:v>
                </c:pt>
                <c:pt idx="29">
                  <c:v>2.9808413645109244</c:v>
                </c:pt>
                <c:pt idx="30">
                  <c:v>2.989434481233216</c:v>
                </c:pt>
                <c:pt idx="31">
                  <c:v>2.9986857254594534</c:v>
                </c:pt>
                <c:pt idx="32">
                  <c:v>3.0086954018652707</c:v>
                </c:pt>
                <c:pt idx="33">
                  <c:v>3.0195881198343297</c:v>
                </c:pt>
                <c:pt idx="34">
                  <c:v>3.0315212547921586</c:v>
                </c:pt>
                <c:pt idx="35">
                  <c:v>3.0446974211858833</c:v>
                </c:pt>
                <c:pt idx="36">
                  <c:v>3.0593834702690694</c:v>
                </c:pt>
                <c:pt idx="37">
                  <c:v>3.07594057253405</c:v>
                </c:pt>
                <c:pt idx="38">
                  <c:v>3.0948741444105887</c:v>
                </c:pt>
                <c:pt idx="39">
                  <c:v>3.116921664392384</c:v>
                </c:pt>
                <c:pt idx="40">
                  <c:v>3.1432189595940345</c:v>
                </c:pt>
                <c:pt idx="41">
                  <c:v>3.1756472415835217</c:v>
                </c:pt>
                <c:pt idx="42">
                  <c:v>3.217662085423704</c:v>
                </c:pt>
                <c:pt idx="43">
                  <c:v>3.276720334000247</c:v>
                </c:pt>
                <c:pt idx="44">
                  <c:v>3.3744241955408465</c:v>
                </c:pt>
                <c:pt idx="45">
                  <c:v>3.660725839650507</c:v>
                </c:pt>
              </c:numCache>
            </c:numRef>
          </c:xVal>
          <c:yVal>
            <c:numRef>
              <c:f>'data T-s chart'!$AH$8:$AH$53</c:f>
              <c:numCache>
                <c:ptCount val="46"/>
                <c:pt idx="0">
                  <c:v>227.1897276673982</c:v>
                </c:pt>
                <c:pt idx="1">
                  <c:v>228.4956262229881</c:v>
                </c:pt>
                <c:pt idx="2">
                  <c:v>229.66662604585906</c:v>
                </c:pt>
                <c:pt idx="3">
                  <c:v>230.6783050524341</c:v>
                </c:pt>
                <c:pt idx="4">
                  <c:v>231.49842487437013</c:v>
                </c:pt>
                <c:pt idx="5">
                  <c:v>232.08288325827846</c:v>
                </c:pt>
                <c:pt idx="6">
                  <c:v>229.3251705149588</c:v>
                </c:pt>
                <c:pt idx="7">
                  <c:v>226.45539959918585</c:v>
                </c:pt>
                <c:pt idx="8">
                  <c:v>223.46238916809443</c:v>
                </c:pt>
                <c:pt idx="9">
                  <c:v>220.33310521023543</c:v>
                </c:pt>
                <c:pt idx="10">
                  <c:v>217.05221742737314</c:v>
                </c:pt>
                <c:pt idx="11">
                  <c:v>213.60151229228944</c:v>
                </c:pt>
                <c:pt idx="12">
                  <c:v>209.95910276246872</c:v>
                </c:pt>
                <c:pt idx="13">
                  <c:v>206.09834285476717</c:v>
                </c:pt>
                <c:pt idx="14">
                  <c:v>201.98630257809066</c:v>
                </c:pt>
                <c:pt idx="15">
                  <c:v>197.5815680766574</c:v>
                </c:pt>
                <c:pt idx="16">
                  <c:v>192.83096929725593</c:v>
                </c:pt>
                <c:pt idx="17">
                  <c:v>187.66453138639235</c:v>
                </c:pt>
                <c:pt idx="18">
                  <c:v>181.98733483560932</c:v>
                </c:pt>
                <c:pt idx="19">
                  <c:v>175.66565926855685</c:v>
                </c:pt>
                <c:pt idx="20">
                  <c:v>168.50171785064362</c:v>
                </c:pt>
                <c:pt idx="21">
                  <c:v>160.1832400696877</c:v>
                </c:pt>
                <c:pt idx="22">
                  <c:v>150.16954714345917</c:v>
                </c:pt>
                <c:pt idx="23">
                  <c:v>137.38183899040803</c:v>
                </c:pt>
                <c:pt idx="24">
                  <c:v>119.0491683938252</c:v>
                </c:pt>
                <c:pt idx="25">
                  <c:v>81.3167359966414</c:v>
                </c:pt>
                <c:pt idx="26">
                  <c:v>80.06029759987587</c:v>
                </c:pt>
                <c:pt idx="27">
                  <c:v>78.7478081327776</c:v>
                </c:pt>
                <c:pt idx="28">
                  <c:v>77.37342069662253</c:v>
                </c:pt>
                <c:pt idx="29">
                  <c:v>75.9302913576123</c:v>
                </c:pt>
                <c:pt idx="30">
                  <c:v>74.41033486053698</c:v>
                </c:pt>
                <c:pt idx="31">
                  <c:v>72.80389983093744</c:v>
                </c:pt>
                <c:pt idx="32">
                  <c:v>71.09932912948801</c:v>
                </c:pt>
                <c:pt idx="33">
                  <c:v>69.282352526806</c:v>
                </c:pt>
                <c:pt idx="34">
                  <c:v>67.33522797782598</c:v>
                </c:pt>
                <c:pt idx="35">
                  <c:v>65.23549425266651</c:v>
                </c:pt>
                <c:pt idx="36">
                  <c:v>62.95410089525478</c:v>
                </c:pt>
                <c:pt idx="37">
                  <c:v>60.45249745309059</c:v>
                </c:pt>
                <c:pt idx="38">
                  <c:v>57.67789240498723</c:v>
                </c:pt>
                <c:pt idx="39">
                  <c:v>54.55508542935331</c:v>
                </c:pt>
                <c:pt idx="40">
                  <c:v>50.9713575381038</c:v>
                </c:pt>
                <c:pt idx="41">
                  <c:v>46.74576854221061</c:v>
                </c:pt>
                <c:pt idx="42">
                  <c:v>41.55809621483479</c:v>
                </c:pt>
                <c:pt idx="43">
                  <c:v>34.74881161556647</c:v>
                </c:pt>
                <c:pt idx="44">
                  <c:v>24.527207806043634</c:v>
                </c:pt>
                <c:pt idx="45">
                  <c:v>0.02010000999996464</c:v>
                </c:pt>
              </c:numCache>
            </c:numRef>
          </c:yVal>
          <c:smooth val="1"/>
        </c:ser>
        <c:ser>
          <c:idx val="11"/>
          <c:order val="9"/>
          <c:tx>
            <c:v>h = 2600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chart'!$AK$8:$AK$41</c:f>
              <c:numCache>
                <c:ptCount val="34"/>
                <c:pt idx="0">
                  <c:v>4.950554118383532</c:v>
                </c:pt>
                <c:pt idx="1">
                  <c:v>4.994194471765853</c:v>
                </c:pt>
                <c:pt idx="2">
                  <c:v>5.046123332688904</c:v>
                </c:pt>
                <c:pt idx="3">
                  <c:v>5.112530644791308</c:v>
                </c:pt>
                <c:pt idx="4">
                  <c:v>5.209328816596766</c:v>
                </c:pt>
                <c:pt idx="5">
                  <c:v>5.401094236980352</c:v>
                </c:pt>
                <c:pt idx="6">
                  <c:v>5.465682003916321</c:v>
                </c:pt>
                <c:pt idx="7">
                  <c:v>5.505911531813812</c:v>
                </c:pt>
                <c:pt idx="8">
                  <c:v>5.553728991068869</c:v>
                </c:pt>
                <c:pt idx="9">
                  <c:v>5.612078120332917</c:v>
                </c:pt>
                <c:pt idx="10">
                  <c:v>5.930573865482278</c:v>
                </c:pt>
                <c:pt idx="11">
                  <c:v>6.1940158720923435</c:v>
                </c:pt>
                <c:pt idx="12">
                  <c:v>6.85677164527709</c:v>
                </c:pt>
                <c:pt idx="13">
                  <c:v>7.990928579869114</c:v>
                </c:pt>
                <c:pt idx="14">
                  <c:v>8.013547323497045</c:v>
                </c:pt>
                <c:pt idx="15">
                  <c:v>8.037366358991424</c:v>
                </c:pt>
                <c:pt idx="16">
                  <c:v>8.06248900714655</c:v>
                </c:pt>
                <c:pt idx="17">
                  <c:v>8.089066372559252</c:v>
                </c:pt>
                <c:pt idx="18">
                  <c:v>8.117277381217445</c:v>
                </c:pt>
                <c:pt idx="19">
                  <c:v>8.147336058376801</c:v>
                </c:pt>
                <c:pt idx="20">
                  <c:v>8.179501354422325</c:v>
                </c:pt>
                <c:pt idx="21">
                  <c:v>8.214090670392341</c:v>
                </c:pt>
                <c:pt idx="22">
                  <c:v>8.251498891995498</c:v>
                </c:pt>
                <c:pt idx="23">
                  <c:v>8.29222586498259</c:v>
                </c:pt>
                <c:pt idx="24">
                  <c:v>8.336917245486799</c:v>
                </c:pt>
                <c:pt idx="25">
                  <c:v>8.386427389638198</c:v>
                </c:pt>
                <c:pt idx="26">
                  <c:v>8.4419202963021</c:v>
                </c:pt>
                <c:pt idx="27">
                  <c:v>8.505040086154585</c:v>
                </c:pt>
                <c:pt idx="28">
                  <c:v>8.578217822744591</c:v>
                </c:pt>
                <c:pt idx="29">
                  <c:v>8.665270896187986</c:v>
                </c:pt>
                <c:pt idx="30">
                  <c:v>8.772710455331532</c:v>
                </c:pt>
                <c:pt idx="31">
                  <c:v>8.913081005347678</c:v>
                </c:pt>
                <c:pt idx="32">
                  <c:v>9.115918646817201</c:v>
                </c:pt>
                <c:pt idx="33">
                  <c:v>9.486700354239039</c:v>
                </c:pt>
              </c:numCache>
            </c:numRef>
          </c:xVal>
          <c:yVal>
            <c:numRef>
              <c:f>'data T-s chart'!$AL$8:$AL$41</c:f>
              <c:numCache>
                <c:ptCount val="34"/>
                <c:pt idx="0">
                  <c:v>513.9922630412699</c:v>
                </c:pt>
                <c:pt idx="1">
                  <c:v>494.64080049591973</c:v>
                </c:pt>
                <c:pt idx="2">
                  <c:v>468.9843231172737</c:v>
                </c:pt>
                <c:pt idx="3">
                  <c:v>433.59640649830703</c:v>
                </c:pt>
                <c:pt idx="4">
                  <c:v>381.99244343063924</c:v>
                </c:pt>
                <c:pt idx="5">
                  <c:v>310.99948799852825</c:v>
                </c:pt>
                <c:pt idx="6">
                  <c:v>295.0091212293113</c:v>
                </c:pt>
                <c:pt idx="7">
                  <c:v>285.8300228057516</c:v>
                </c:pt>
                <c:pt idx="8">
                  <c:v>275.5864107560508</c:v>
                </c:pt>
                <c:pt idx="9">
                  <c:v>263.9428711863302</c:v>
                </c:pt>
                <c:pt idx="10">
                  <c:v>212.38453531849052</c:v>
                </c:pt>
                <c:pt idx="11">
                  <c:v>179.88563239146663</c:v>
                </c:pt>
                <c:pt idx="12">
                  <c:v>120.21154593648885</c:v>
                </c:pt>
                <c:pt idx="13">
                  <c:v>54.937399089743565</c:v>
                </c:pt>
                <c:pt idx="14">
                  <c:v>54.83229976177404</c:v>
                </c:pt>
                <c:pt idx="15">
                  <c:v>54.731546757069054</c:v>
                </c:pt>
                <c:pt idx="16">
                  <c:v>54.6308579923363</c:v>
                </c:pt>
                <c:pt idx="17">
                  <c:v>54.530231900258855</c:v>
                </c:pt>
                <c:pt idx="18">
                  <c:v>54.42966690948708</c:v>
                </c:pt>
                <c:pt idx="19">
                  <c:v>54.32916144463388</c:v>
                </c:pt>
                <c:pt idx="20">
                  <c:v>54.22871392627104</c:v>
                </c:pt>
                <c:pt idx="21">
                  <c:v>54.128322770924626</c:v>
                </c:pt>
                <c:pt idx="22">
                  <c:v>54.027986391070726</c:v>
                </c:pt>
                <c:pt idx="23">
                  <c:v>53.927703195131755</c:v>
                </c:pt>
                <c:pt idx="24">
                  <c:v>53.82747158747162</c:v>
                </c:pt>
                <c:pt idx="25">
                  <c:v>53.72728996839294</c:v>
                </c:pt>
                <c:pt idx="26">
                  <c:v>53.62715673413038</c:v>
                </c:pt>
                <c:pt idx="27">
                  <c:v>53.52707027684886</c:v>
                </c:pt>
                <c:pt idx="28">
                  <c:v>53.42702898463796</c:v>
                </c:pt>
                <c:pt idx="29">
                  <c:v>53.327031241508564</c:v>
                </c:pt>
                <c:pt idx="30">
                  <c:v>53.227075427387945</c:v>
                </c:pt>
                <c:pt idx="31">
                  <c:v>53.12715991811581</c:v>
                </c:pt>
                <c:pt idx="32">
                  <c:v>53.02728308544067</c:v>
                </c:pt>
                <c:pt idx="33">
                  <c:v>52.92744329701492</c:v>
                </c:pt>
              </c:numCache>
            </c:numRef>
          </c:yVal>
          <c:smooth val="1"/>
        </c:ser>
        <c:ser>
          <c:idx val="12"/>
          <c:order val="10"/>
          <c:tx>
            <c:v>h = 3000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chart'!$AO$8:$AO$53</c:f>
              <c:numCache>
                <c:ptCount val="46"/>
                <c:pt idx="0">
                  <c:v>5.439421854486604</c:v>
                </c:pt>
                <c:pt idx="1">
                  <c:v>5.452499341026543</c:v>
                </c:pt>
                <c:pt idx="2">
                  <c:v>5.466143737140844</c:v>
                </c:pt>
                <c:pt idx="3">
                  <c:v>5.480410731052344</c:v>
                </c:pt>
                <c:pt idx="4">
                  <c:v>5.495364744095743</c:v>
                </c:pt>
                <c:pt idx="5">
                  <c:v>5.5110815188201</c:v>
                </c:pt>
                <c:pt idx="6">
                  <c:v>5.527651446988696</c:v>
                </c:pt>
                <c:pt idx="7">
                  <c:v>5.545183837085323</c:v>
                </c:pt>
                <c:pt idx="8">
                  <c:v>5.563812390373165</c:v>
                </c:pt>
                <c:pt idx="9">
                  <c:v>5.583702260169402</c:v>
                </c:pt>
                <c:pt idx="10">
                  <c:v>5.605059239214977</c:v>
                </c:pt>
                <c:pt idx="11">
                  <c:v>5.628141909921407</c:v>
                </c:pt>
                <c:pt idx="12">
                  <c:v>5.653278109862551</c:v>
                </c:pt>
                <c:pt idx="13">
                  <c:v>5.680888023719006</c:v>
                </c:pt>
                <c:pt idx="14">
                  <c:v>5.71151803929907</c:v>
                </c:pt>
                <c:pt idx="15">
                  <c:v>5.745893062576216</c:v>
                </c:pt>
                <c:pt idx="16">
                  <c:v>5.785002068596371</c:v>
                </c:pt>
                <c:pt idx="17">
                  <c:v>5.8300699645412175</c:v>
                </c:pt>
                <c:pt idx="18">
                  <c:v>5.883290895825147</c:v>
                </c:pt>
                <c:pt idx="19">
                  <c:v>5.947840855172226</c:v>
                </c:pt>
                <c:pt idx="20">
                  <c:v>6.0292624798489785</c:v>
                </c:pt>
                <c:pt idx="21">
                  <c:v>6.044443040838224</c:v>
                </c:pt>
                <c:pt idx="22">
                  <c:v>6.060362029391246</c:v>
                </c:pt>
                <c:pt idx="23">
                  <c:v>6.077088173361301</c:v>
                </c:pt>
                <c:pt idx="24">
                  <c:v>6.09469996863477</c:v>
                </c:pt>
                <c:pt idx="25">
                  <c:v>6.113287634050237</c:v>
                </c:pt>
                <c:pt idx="26">
                  <c:v>6.132955572584931</c:v>
                </c:pt>
                <c:pt idx="27">
                  <c:v>6.153825501667124</c:v>
                </c:pt>
                <c:pt idx="28">
                  <c:v>6.176040480238527</c:v>
                </c:pt>
                <c:pt idx="29">
                  <c:v>6.199770156308696</c:v>
                </c:pt>
                <c:pt idx="30">
                  <c:v>6.225217704444711</c:v>
                </c:pt>
                <c:pt idx="31">
                  <c:v>6.252629148777854</c:v>
                </c:pt>
                <c:pt idx="32">
                  <c:v>6.282306127509771</c:v>
                </c:pt>
                <c:pt idx="33">
                  <c:v>6.314623746707743</c:v>
                </c:pt>
                <c:pt idx="34">
                  <c:v>6.350056176600661</c:v>
                </c:pt>
                <c:pt idx="35">
                  <c:v>6.389214419736558</c:v>
                </c:pt>
                <c:pt idx="36">
                  <c:v>6.432867837847468</c:v>
                </c:pt>
                <c:pt idx="37">
                  <c:v>6.482142874769506</c:v>
                </c:pt>
                <c:pt idx="38">
                  <c:v>6.538550424077442</c:v>
                </c:pt>
                <c:pt idx="39">
                  <c:v>6.604340786451486</c:v>
                </c:pt>
                <c:pt idx="40">
                  <c:v>6.682986204585661</c:v>
                </c:pt>
                <c:pt idx="41">
                  <c:v>6.780309656532409</c:v>
                </c:pt>
                <c:pt idx="42">
                  <c:v>6.9072393269875505</c:v>
                </c:pt>
                <c:pt idx="43">
                  <c:v>7.088312712000497</c:v>
                </c:pt>
                <c:pt idx="44">
                  <c:v>7.4017748647843264</c:v>
                </c:pt>
                <c:pt idx="45">
                  <c:v>10.433158425774078</c:v>
                </c:pt>
              </c:numCache>
            </c:numRef>
          </c:xVal>
          <c:yVal>
            <c:numRef>
              <c:f>'data T-s chart'!$AP$8:$AP$53</c:f>
              <c:numCache>
                <c:ptCount val="46"/>
                <c:pt idx="0">
                  <c:v>579.8707422807048</c:v>
                </c:pt>
                <c:pt idx="1">
                  <c:v>574.6796838087822</c:v>
                </c:pt>
                <c:pt idx="2">
                  <c:v>569.2136078185512</c:v>
                </c:pt>
                <c:pt idx="3">
                  <c:v>563.452181352669</c:v>
                </c:pt>
                <c:pt idx="4">
                  <c:v>557.3728557007431</c:v>
                </c:pt>
                <c:pt idx="5">
                  <c:v>550.9505413325093</c:v>
                </c:pt>
                <c:pt idx="6">
                  <c:v>544.1572140623167</c:v>
                </c:pt>
                <c:pt idx="7">
                  <c:v>536.9614323814234</c:v>
                </c:pt>
                <c:pt idx="8">
                  <c:v>529.3277384423194</c:v>
                </c:pt>
                <c:pt idx="9">
                  <c:v>521.2159045149717</c:v>
                </c:pt>
                <c:pt idx="10">
                  <c:v>512.5799713521226</c:v>
                </c:pt>
                <c:pt idx="11">
                  <c:v>503.36700254938796</c:v>
                </c:pt>
                <c:pt idx="12">
                  <c:v>493.51544627392104</c:v>
                </c:pt>
                <c:pt idx="13">
                  <c:v>482.9529474435153</c:v>
                </c:pt>
                <c:pt idx="14">
                  <c:v>471.59338115928836</c:v>
                </c:pt>
                <c:pt idx="15">
                  <c:v>459.3327670860152</c:v>
                </c:pt>
                <c:pt idx="16">
                  <c:v>446.04354406708785</c:v>
                </c:pt>
                <c:pt idx="17">
                  <c:v>431.53779256180474</c:v>
                </c:pt>
                <c:pt idx="18">
                  <c:v>415.6281433191733</c:v>
                </c:pt>
                <c:pt idx="19">
                  <c:v>398.0253649281169</c:v>
                </c:pt>
                <c:pt idx="20">
                  <c:v>378.3448246117139</c:v>
                </c:pt>
                <c:pt idx="21">
                  <c:v>374.96888517218474</c:v>
                </c:pt>
                <c:pt idx="22">
                  <c:v>371.5228588863383</c:v>
                </c:pt>
                <c:pt idx="23">
                  <c:v>368.0035704787641</c:v>
                </c:pt>
                <c:pt idx="24">
                  <c:v>364.4076000510395</c:v>
                </c:pt>
                <c:pt idx="25">
                  <c:v>360.73126386461627</c:v>
                </c:pt>
                <c:pt idx="26">
                  <c:v>356.97059425501357</c:v>
                </c:pt>
                <c:pt idx="27">
                  <c:v>353.1213186702138</c:v>
                </c:pt>
                <c:pt idx="28">
                  <c:v>349.17883782766694</c:v>
                </c:pt>
                <c:pt idx="29">
                  <c:v>345.13820298567475</c:v>
                </c:pt>
                <c:pt idx="30">
                  <c:v>340.9940923262782</c:v>
                </c:pt>
                <c:pt idx="31">
                  <c:v>336.7407864479525</c:v>
                </c:pt>
                <c:pt idx="32">
                  <c:v>332.3721429675694</c:v>
                </c:pt>
                <c:pt idx="33">
                  <c:v>327.88157023211636</c:v>
                </c:pt>
                <c:pt idx="34">
                  <c:v>323.26200014160247</c:v>
                </c:pt>
                <c:pt idx="35">
                  <c:v>318.50586008545736</c:v>
                </c:pt>
                <c:pt idx="36">
                  <c:v>313.5971724798251</c:v>
                </c:pt>
                <c:pt idx="37">
                  <c:v>308.53455340915934</c:v>
                </c:pt>
                <c:pt idx="38">
                  <c:v>303.30416919932236</c:v>
                </c:pt>
                <c:pt idx="39">
                  <c:v>297.8977318169648</c:v>
                </c:pt>
                <c:pt idx="40">
                  <c:v>292.30379723007377</c:v>
                </c:pt>
                <c:pt idx="41">
                  <c:v>286.51141112132973</c:v>
                </c:pt>
                <c:pt idx="42">
                  <c:v>280.51250600882975</c:v>
                </c:pt>
                <c:pt idx="43">
                  <c:v>274.30367942178816</c:v>
                </c:pt>
                <c:pt idx="44">
                  <c:v>267.88798277880653</c:v>
                </c:pt>
                <c:pt idx="45">
                  <c:v>261.27735061630676</c:v>
                </c:pt>
              </c:numCache>
            </c:numRef>
          </c:yVal>
          <c:smooth val="1"/>
        </c:ser>
        <c:ser>
          <c:idx val="13"/>
          <c:order val="11"/>
          <c:tx>
            <c:v>h = 3600 kJ/kg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chart'!$AS$8:$AS$53</c:f>
              <c:numCache>
                <c:ptCount val="46"/>
                <c:pt idx="0">
                  <c:v>6.0927309037591</c:v>
                </c:pt>
                <c:pt idx="1">
                  <c:v>6.109361019067777</c:v>
                </c:pt>
                <c:pt idx="2">
                  <c:v>6.1267495909736915</c:v>
                </c:pt>
                <c:pt idx="3">
                  <c:v>6.144973494560577</c:v>
                </c:pt>
                <c:pt idx="4">
                  <c:v>6.164121609302143</c:v>
                </c:pt>
                <c:pt idx="5">
                  <c:v>6.184297241652427</c:v>
                </c:pt>
                <c:pt idx="6">
                  <c:v>6.205621176811062</c:v>
                </c:pt>
                <c:pt idx="7">
                  <c:v>6.228235586442899</c:v>
                </c:pt>
                <c:pt idx="8">
                  <c:v>6.252309117615283</c:v>
                </c:pt>
                <c:pt idx="9">
                  <c:v>6.278043636914639</c:v>
                </c:pt>
                <c:pt idx="10">
                  <c:v>6.305683333778637</c:v>
                </c:pt>
                <c:pt idx="11">
                  <c:v>6.335527252867807</c:v>
                </c:pt>
                <c:pt idx="12">
                  <c:v>6.367946924795037</c:v>
                </c:pt>
                <c:pt idx="13">
                  <c:v>6.403411781349519</c:v>
                </c:pt>
                <c:pt idx="14">
                  <c:v>6.442526834939682</c:v>
                </c:pt>
                <c:pt idx="15">
                  <c:v>6.486090412602928</c:v>
                </c:pt>
                <c:pt idx="16">
                  <c:v>6.535186180670888</c:v>
                </c:pt>
                <c:pt idx="17">
                  <c:v>6.59133707414338</c:v>
                </c:pt>
                <c:pt idx="18">
                  <c:v>6.656778769430582</c:v>
                </c:pt>
                <c:pt idx="19">
                  <c:v>6.734984693238132</c:v>
                </c:pt>
                <c:pt idx="20">
                  <c:v>6.831783939234154</c:v>
                </c:pt>
                <c:pt idx="21">
                  <c:v>6.849610005923925</c:v>
                </c:pt>
                <c:pt idx="22">
                  <c:v>6.868231458805968</c:v>
                </c:pt>
                <c:pt idx="23">
                  <c:v>6.887719604794979</c:v>
                </c:pt>
                <c:pt idx="24">
                  <c:v>6.9081557131959315</c:v>
                </c:pt>
                <c:pt idx="25">
                  <c:v>6.9296329605618405</c:v>
                </c:pt>
                <c:pt idx="26">
                  <c:v>6.952258874670228</c:v>
                </c:pt>
                <c:pt idx="27">
                  <c:v>6.976158439709556</c:v>
                </c:pt>
                <c:pt idx="28">
                  <c:v>7.0014780897159365</c:v>
                </c:pt>
                <c:pt idx="29">
                  <c:v>7.0283909138081855</c:v>
                </c:pt>
                <c:pt idx="30">
                  <c:v>7.057103543208475</c:v>
                </c:pt>
                <c:pt idx="31">
                  <c:v>7.087865417491716</c:v>
                </c:pt>
                <c:pt idx="32">
                  <c:v>7.12098149017453</c:v>
                </c:pt>
                <c:pt idx="33">
                  <c:v>7.15683002936914</c:v>
                </c:pt>
                <c:pt idx="34">
                  <c:v>7.195888180925803</c:v>
                </c:pt>
                <c:pt idx="35">
                  <c:v>7.2387697478250566</c:v>
                </c:pt>
                <c:pt idx="36">
                  <c:v>7.286267252357036</c:v>
                </c:pt>
                <c:pt idx="37">
                  <c:v>7.339495093638192</c:v>
                </c:pt>
                <c:pt idx="38">
                  <c:v>7.399978500028443</c:v>
                </c:pt>
                <c:pt idx="39">
                  <c:v>7.469964865901984</c:v>
                </c:pt>
                <c:pt idx="40">
                  <c:v>7.552937792204667</c:v>
                </c:pt>
                <c:pt idx="41">
                  <c:v>7.654732189683573</c:v>
                </c:pt>
                <c:pt idx="42">
                  <c:v>7.786283882775178</c:v>
                </c:pt>
                <c:pt idx="43">
                  <c:v>7.972135345529322</c:v>
                </c:pt>
                <c:pt idx="44">
                  <c:v>8.290540341978827</c:v>
                </c:pt>
                <c:pt idx="45">
                  <c:v>11.3270539379592</c:v>
                </c:pt>
              </c:numCache>
            </c:numRef>
          </c:xVal>
          <c:yVal>
            <c:numRef>
              <c:f>'data T-s chart'!$AT$8:$AT$53</c:f>
              <c:numCache>
                <c:ptCount val="46"/>
                <c:pt idx="0">
                  <c:v>724.2774946875965</c:v>
                </c:pt>
                <c:pt idx="1">
                  <c:v>719.798925827128</c:v>
                </c:pt>
                <c:pt idx="2">
                  <c:v>715.1585720595924</c:v>
                </c:pt>
                <c:pt idx="3">
                  <c:v>710.348852532611</c:v>
                </c:pt>
                <c:pt idx="4">
                  <c:v>705.3618176198228</c:v>
                </c:pt>
                <c:pt idx="5">
                  <c:v>700.1891432344598</c:v>
                </c:pt>
                <c:pt idx="6">
                  <c:v>694.8221178359993</c:v>
                </c:pt>
                <c:pt idx="7">
                  <c:v>689.2516210667585</c:v>
                </c:pt>
                <c:pt idx="8">
                  <c:v>683.4680931206225</c:v>
                </c:pt>
                <c:pt idx="9">
                  <c:v>677.4614941029369</c:v>
                </c:pt>
                <c:pt idx="10">
                  <c:v>671.221252788777</c:v>
                </c:pt>
                <c:pt idx="11">
                  <c:v>664.7362043264704</c:v>
                </c:pt>
                <c:pt idx="12">
                  <c:v>657.9945165642865</c:v>
                </c:pt>
                <c:pt idx="13">
                  <c:v>650.9836048006958</c:v>
                </c:pt>
                <c:pt idx="14">
                  <c:v>643.6900348724872</c:v>
                </c:pt>
                <c:pt idx="15">
                  <c:v>636.0994146003635</c:v>
                </c:pt>
                <c:pt idx="16">
                  <c:v>628.1962737083561</c:v>
                </c:pt>
                <c:pt idx="17">
                  <c:v>619.9639324215658</c:v>
                </c:pt>
                <c:pt idx="18">
                  <c:v>611.3843590263158</c:v>
                </c:pt>
                <c:pt idx="19">
                  <c:v>602.4380167477979</c:v>
                </c:pt>
                <c:pt idx="20">
                  <c:v>593.1037003626972</c:v>
                </c:pt>
                <c:pt idx="21">
                  <c:v>591.5727785205983</c:v>
                </c:pt>
                <c:pt idx="22">
                  <c:v>590.0312409092187</c:v>
                </c:pt>
                <c:pt idx="23">
                  <c:v>588.4789871786256</c:v>
                </c:pt>
                <c:pt idx="24">
                  <c:v>586.9159156141048</c:v>
                </c:pt>
                <c:pt idx="25">
                  <c:v>585.3419231161968</c:v>
                </c:pt>
                <c:pt idx="26">
                  <c:v>583.756905180588</c:v>
                </c:pt>
                <c:pt idx="27">
                  <c:v>582.1607558778666</c:v>
                </c:pt>
                <c:pt idx="28">
                  <c:v>580.553367833135</c:v>
                </c:pt>
                <c:pt idx="29">
                  <c:v>578.934632205488</c:v>
                </c:pt>
                <c:pt idx="30">
                  <c:v>577.304438667354</c:v>
                </c:pt>
                <c:pt idx="31">
                  <c:v>575.662675383705</c:v>
                </c:pt>
                <c:pt idx="32">
                  <c:v>574.0092289911297</c:v>
                </c:pt>
                <c:pt idx="33">
                  <c:v>572.3439845767821</c:v>
                </c:pt>
                <c:pt idx="34">
                  <c:v>570.6668256571946</c:v>
                </c:pt>
                <c:pt idx="35">
                  <c:v>568.97763415697</c:v>
                </c:pt>
                <c:pt idx="36">
                  <c:v>567.2705332842056</c:v>
                </c:pt>
                <c:pt idx="37">
                  <c:v>565.5526612316253</c:v>
                </c:pt>
                <c:pt idx="38">
                  <c:v>563.8205217971492</c:v>
                </c:pt>
                <c:pt idx="39">
                  <c:v>562.0741099536834</c:v>
                </c:pt>
                <c:pt idx="40">
                  <c:v>560.3134213444586</c:v>
                </c:pt>
                <c:pt idx="41">
                  <c:v>558.5384522830833</c:v>
                </c:pt>
                <c:pt idx="42">
                  <c:v>556.7491997535753</c:v>
                </c:pt>
                <c:pt idx="43">
                  <c:v>554.9456614103868</c:v>
                </c:pt>
                <c:pt idx="44">
                  <c:v>553.1278355784174</c:v>
                </c:pt>
                <c:pt idx="45">
                  <c:v>551.2957212530227</c:v>
                </c:pt>
              </c:numCache>
            </c:numRef>
          </c:yVal>
          <c:smooth val="1"/>
        </c:ser>
        <c:ser>
          <c:idx val="14"/>
          <c:order val="12"/>
          <c:tx>
            <c:v>q = 0.25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chart'!$Y$8:$Y$108</c:f>
              <c:numCache>
                <c:ptCount val="101"/>
                <c:pt idx="0">
                  <c:v>2.2888728222752595</c:v>
                </c:pt>
                <c:pt idx="1">
                  <c:v>2.307228805156444</c:v>
                </c:pt>
                <c:pt idx="2">
                  <c:v>2.3257457057402515</c:v>
                </c:pt>
                <c:pt idx="3">
                  <c:v>2.3444302401342956</c:v>
                </c:pt>
                <c:pt idx="4">
                  <c:v>2.36328200496803</c:v>
                </c:pt>
                <c:pt idx="5">
                  <c:v>2.3822961550312867</c:v>
                </c:pt>
                <c:pt idx="6">
                  <c:v>2.4014651848095077</c:v>
                </c:pt>
                <c:pt idx="7">
                  <c:v>2.4207801010408474</c:v>
                </c:pt>
                <c:pt idx="8">
                  <c:v>2.4402311832181582</c:v>
                </c:pt>
                <c:pt idx="9">
                  <c:v>2.459808467058476</c:v>
                </c:pt>
                <c:pt idx="10">
                  <c:v>2.4795020433605455</c:v>
                </c:pt>
                <c:pt idx="11">
                  <c:v>2.4993022352852012</c:v>
                </c:pt>
                <c:pt idx="12">
                  <c:v>2.519199696799703</c:v>
                </c:pt>
                <c:pt idx="13">
                  <c:v>2.539185461018671</c:v>
                </c:pt>
                <c:pt idx="14">
                  <c:v>2.559250957530312</c:v>
                </c:pt>
                <c:pt idx="15">
                  <c:v>2.5793880111968006</c:v>
                </c:pt>
                <c:pt idx="16">
                  <c:v>2.5995888304462027</c:v>
                </c:pt>
                <c:pt idx="17">
                  <c:v>2.619845990091519</c:v>
                </c:pt>
                <c:pt idx="18">
                  <c:v>2.6401524117689226</c:v>
                </c:pt>
                <c:pt idx="19">
                  <c:v>2.660501343861074</c:v>
                </c:pt>
                <c:pt idx="20">
                  <c:v>2.6808863420316347</c:v>
                </c:pt>
                <c:pt idx="21">
                  <c:v>2.7013012510755576</c:v>
                </c:pt>
                <c:pt idx="22">
                  <c:v>2.7217401885651227</c:v>
                </c:pt>
                <c:pt idx="23">
                  <c:v>2.742197530655098</c:v>
                </c:pt>
                <c:pt idx="24">
                  <c:v>2.762667900340129</c:v>
                </c:pt>
                <c:pt idx="25">
                  <c:v>2.783146158391363</c:v>
                </c:pt>
                <c:pt idx="26">
                  <c:v>2.8036273971128267</c:v>
                </c:pt>
                <c:pt idx="27">
                  <c:v>2.8241069369405896</c:v>
                </c:pt>
                <c:pt idx="28">
                  <c:v>2.8445803257603304</c:v>
                </c:pt>
                <c:pt idx="29">
                  <c:v>2.8650433406515434</c:v>
                </c:pt>
                <c:pt idx="30">
                  <c:v>2.885491991595814</c:v>
                </c:pt>
                <c:pt idx="31">
                  <c:v>2.905922526532149</c:v>
                </c:pt>
                <c:pt idx="32">
                  <c:v>2.9263314370236473</c:v>
                </c:pt>
                <c:pt idx="33">
                  <c:v>2.9467154637345816</c:v>
                </c:pt>
                <c:pt idx="34">
                  <c:v>2.9670716009163285</c:v>
                </c:pt>
                <c:pt idx="35">
                  <c:v>2.987397099169554</c:v>
                </c:pt>
                <c:pt idx="36">
                  <c:v>3.0076894658853903</c:v>
                </c:pt>
                <c:pt idx="37">
                  <c:v>3.027946462958724</c:v>
                </c:pt>
                <c:pt idx="38">
                  <c:v>3.0481661015950268</c:v>
                </c:pt>
                <c:pt idx="39">
                  <c:v>3.068346634275937</c:v>
                </c:pt>
                <c:pt idx="40">
                  <c:v>3.0884865441843963</c:v>
                </c:pt>
                <c:pt idx="41">
                  <c:v>3.1085845325944703</c:v>
                </c:pt>
                <c:pt idx="42">
                  <c:v>3.128639504884485</c:v>
                </c:pt>
                <c:pt idx="43">
                  <c:v>3.148650555921418</c:v>
                </c:pt>
                <c:pt idx="44">
                  <c:v>3.1686169555831545</c:v>
                </c:pt>
                <c:pt idx="45">
                  <c:v>3.1885381351347784</c:v>
                </c:pt>
                <c:pt idx="46">
                  <c:v>3.208413675064598</c:v>
                </c:pt>
                <c:pt idx="47">
                  <c:v>3.2282432948302064</c:v>
                </c:pt>
                <c:pt idx="48">
                  <c:v>3.2480268447840865</c:v>
                </c:pt>
                <c:pt idx="49">
                  <c:v>3.2677643003633623</c:v>
                </c:pt>
                <c:pt idx="50">
                  <c:v>3.287455758460138</c:v>
                </c:pt>
                <c:pt idx="51">
                  <c:v>3.3071014357546957</c:v>
                </c:pt>
                <c:pt idx="52">
                  <c:v>3.326701668706484</c:v>
                </c:pt>
                <c:pt idx="53">
                  <c:v>3.3462569148630177</c:v>
                </c:pt>
                <c:pt idx="54">
                  <c:v>3.365767755163558</c:v>
                </c:pt>
                <c:pt idx="55">
                  <c:v>3.3852348969748607</c:v>
                </c:pt>
                <c:pt idx="56">
                  <c:v>3.4046591776869772</c:v>
                </c:pt>
                <c:pt idx="57">
                  <c:v>3.42404156880112</c:v>
                </c:pt>
                <c:pt idx="58">
                  <c:v>3.443383180540904</c:v>
                </c:pt>
                <c:pt idx="59">
                  <c:v>3.4626852670966963</c:v>
                </c:pt>
                <c:pt idx="60">
                  <c:v>3.4819492326582653</c:v>
                </c:pt>
                <c:pt idx="61">
                  <c:v>3.501176638398121</c:v>
                </c:pt>
                <c:pt idx="62">
                  <c:v>3.520369210538599</c:v>
                </c:pt>
                <c:pt idx="63">
                  <c:v>3.5395288495796104</c:v>
                </c:pt>
                <c:pt idx="64">
                  <c:v>3.558657640696963</c:v>
                </c:pt>
                <c:pt idx="65">
                  <c:v>3.5777578652639344</c:v>
                </c:pt>
                <c:pt idx="66">
                  <c:v>3.5968320134242453</c:v>
                </c:pt>
                <c:pt idx="67">
                  <c:v>3.615882797675871</c:v>
                </c:pt>
                <c:pt idx="68">
                  <c:v>3.6349131675330706</c:v>
                </c:pt>
                <c:pt idx="69">
                  <c:v>3.653926325535437</c:v>
                </c:pt>
                <c:pt idx="70">
                  <c:v>3.6729257451769444</c:v>
                </c:pt>
                <c:pt idx="71">
                  <c:v>3.6919151917317494</c:v>
                </c:pt>
                <c:pt idx="72">
                  <c:v>3.7108987474324646</c:v>
                </c:pt>
                <c:pt idx="73">
                  <c:v>3.729880842953736</c:v>
                </c:pt>
                <c:pt idx="74">
                  <c:v>3.74886629756684</c:v>
                </c:pt>
                <c:pt idx="75">
                  <c:v>3.767860370504261</c:v>
                </c:pt>
                <c:pt idx="76">
                  <c:v>3.786868825806385</c:v>
                </c:pt>
                <c:pt idx="77">
                  <c:v>3.805898012008239</c:v>
                </c:pt>
                <c:pt idx="78">
                  <c:v>3.824954956333027</c:v>
                </c:pt>
                <c:pt idx="79">
                  <c:v>3.844047470687795</c:v>
                </c:pt>
                <c:pt idx="80">
                  <c:v>3.863184264245136</c:v>
                </c:pt>
                <c:pt idx="81">
                  <c:v>3.8823750560022687</c:v>
                </c:pt>
                <c:pt idx="82">
                  <c:v>3.901630682702125</c:v>
                </c:pt>
                <c:pt idx="83">
                  <c:v>3.9209632063678455</c:v>
                </c:pt>
                <c:pt idx="84">
                  <c:v>3.9403860461306355</c:v>
                </c:pt>
                <c:pt idx="85">
                  <c:v>3.9599141964272153</c:v>
                </c:pt>
                <c:pt idx="86">
                  <c:v>3.9795646528630737</c:v>
                </c:pt>
                <c:pt idx="87">
                  <c:v>3.999357249956555</c:v>
                </c:pt>
                <c:pt idx="88">
                  <c:v>4.019316216489148</c:v>
                </c:pt>
                <c:pt idx="89">
                  <c:v>4.0394728563349585</c:v>
                </c:pt>
                <c:pt idx="90">
                  <c:v>4.059869826903048</c:v>
                </c:pt>
                <c:pt idx="91">
                  <c:v>4.080567445630467</c:v>
                </c:pt>
                <c:pt idx="92">
                  <c:v>4.101652200959026</c:v>
                </c:pt>
                <c:pt idx="93">
                  <c:v>4.1232470270658155</c:v>
                </c:pt>
                <c:pt idx="94">
                  <c:v>4.145589607376736</c:v>
                </c:pt>
                <c:pt idx="95">
                  <c:v>4.168864682632665</c:v>
                </c:pt>
                <c:pt idx="96">
                  <c:v>4.193483477997971</c:v>
                </c:pt>
                <c:pt idx="97">
                  <c:v>4.220120088057449</c:v>
                </c:pt>
                <c:pt idx="98">
                  <c:v>4.250207043203996</c:v>
                </c:pt>
                <c:pt idx="99">
                  <c:v>4.28800031496988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chart'!$Z$8:$Z$108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15"/>
          <c:order val="13"/>
          <c:tx>
            <c:v>q = 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'data T-s chart'!$AA$8:$AA$108</c:f>
              <c:numCache>
                <c:ptCount val="101"/>
                <c:pt idx="0">
                  <c:v>4.577745706006328</c:v>
                </c:pt>
                <c:pt idx="1">
                  <c:v>4.557163972085107</c:v>
                </c:pt>
                <c:pt idx="2">
                  <c:v>4.537804003449777</c:v>
                </c:pt>
                <c:pt idx="3">
                  <c:v>4.519620573227737</c:v>
                </c:pt>
                <c:pt idx="4">
                  <c:v>4.50256649634855</c:v>
                </c:pt>
                <c:pt idx="5">
                  <c:v>4.48659422024376</c:v>
                </c:pt>
                <c:pt idx="6">
                  <c:v>4.471656820792645</c:v>
                </c:pt>
                <c:pt idx="7">
                  <c:v>4.457708599664864</c:v>
                </c:pt>
                <c:pt idx="8">
                  <c:v>4.444705417681332</c:v>
                </c:pt>
                <c:pt idx="9">
                  <c:v>4.432604856365427</c:v>
                </c:pt>
                <c:pt idx="10">
                  <c:v>4.421366270444371</c:v>
                </c:pt>
                <c:pt idx="11">
                  <c:v>4.410950773618042</c:v>
                </c:pt>
                <c:pt idx="12">
                  <c:v>4.401321185690915</c:v>
                </c:pt>
                <c:pt idx="13">
                  <c:v>4.392441959296098</c:v>
                </c:pt>
                <c:pt idx="14">
                  <c:v>4.384279097649905</c:v>
                </c:pt>
                <c:pt idx="15">
                  <c:v>4.376800070176024</c:v>
                </c:pt>
                <c:pt idx="16">
                  <c:v>4.369973729806837</c:v>
                </c:pt>
                <c:pt idx="17">
                  <c:v>4.363770233859429</c:v>
                </c:pt>
                <c:pt idx="18">
                  <c:v>4.358160969267516</c:v>
                </c:pt>
                <c:pt idx="19">
                  <c:v>4.353118482382675</c:v>
                </c:pt>
                <c:pt idx="20">
                  <c:v>4.348616413351916</c:v>
                </c:pt>
                <c:pt idx="21">
                  <c:v>4.344629435088274</c:v>
                </c:pt>
                <c:pt idx="22">
                  <c:v>4.341133196965688</c:v>
                </c:pt>
                <c:pt idx="23">
                  <c:v>4.338104273503107</c:v>
                </c:pt>
                <c:pt idx="24">
                  <c:v>4.335520118395</c:v>
                </c:pt>
                <c:pt idx="25">
                  <c:v>4.333359024256122</c:v>
                </c:pt>
                <c:pt idx="26">
                  <c:v>4.3316000883582095</c:v>
                </c:pt>
                <c:pt idx="27">
                  <c:v>4.330223184445012</c:v>
                </c:pt>
                <c:pt idx="28">
                  <c:v>4.3292089404356195</c:v>
                </c:pt>
                <c:pt idx="29">
                  <c:v>4.328538721494288</c:v>
                </c:pt>
                <c:pt idx="30">
                  <c:v>4.328194617597125</c:v>
                </c:pt>
                <c:pt idx="31">
                  <c:v>4.32815943440581</c:v>
                </c:pt>
                <c:pt idx="32">
                  <c:v>4.328416686007916</c:v>
                </c:pt>
                <c:pt idx="33">
                  <c:v>4.328950587938957</c:v>
                </c:pt>
                <c:pt idx="34">
                  <c:v>4.3297460488866975</c:v>
                </c:pt>
                <c:pt idx="35">
                  <c:v>4.330788659604053</c:v>
                </c:pt>
                <c:pt idx="36">
                  <c:v>4.332064677816513</c:v>
                </c:pt>
                <c:pt idx="37">
                  <c:v>4.333561008281503</c:v>
                </c:pt>
                <c:pt idx="38">
                  <c:v>4.33526517760549</c:v>
                </c:pt>
                <c:pt idx="39">
                  <c:v>4.3371653039054365</c:v>
                </c:pt>
                <c:pt idx="40">
                  <c:v>4.339250061866675</c:v>
                </c:pt>
                <c:pt idx="41">
                  <c:v>4.341508644152915</c:v>
                </c:pt>
                <c:pt idx="42">
                  <c:v>4.34393072042706</c:v>
                </c:pt>
                <c:pt idx="43">
                  <c:v>4.346506395416317</c:v>
                </c:pt>
                <c:pt idx="44">
                  <c:v>4.349226167489022</c:v>
                </c:pt>
                <c:pt idx="45">
                  <c:v>4.352080889106242</c:v>
                </c:pt>
                <c:pt idx="46">
                  <c:v>4.355061730286716</c:v>
                </c:pt>
                <c:pt idx="47">
                  <c:v>4.358160145908766</c:v>
                </c:pt>
                <c:pt idx="48">
                  <c:v>4.36136784730638</c:v>
                </c:pt>
                <c:pt idx="49">
                  <c:v>4.364676778241035</c:v>
                </c:pt>
                <c:pt idx="50">
                  <c:v>4.368079094987037</c:v>
                </c:pt>
                <c:pt idx="51">
                  <c:v>4.3715671499907796</c:v>
                </c:pt>
                <c:pt idx="52">
                  <c:v>4.375133478378009</c:v>
                </c:pt>
                <c:pt idx="53">
                  <c:v>4.378770786499251</c:v>
                </c:pt>
                <c:pt idx="54">
                  <c:v>4.382471941719171</c:v>
                </c:pt>
                <c:pt idx="55">
                  <c:v>4.386229962754447</c:v>
                </c:pt>
                <c:pt idx="56">
                  <c:v>4.390038010019286</c:v>
                </c:pt>
                <c:pt idx="57">
                  <c:v>4.393889375613144</c:v>
                </c:pt>
                <c:pt idx="58">
                  <c:v>4.397777472744643</c:v>
                </c:pt>
                <c:pt idx="59">
                  <c:v>4.401695824495992</c:v>
                </c:pt>
                <c:pt idx="60">
                  <c:v>4.405638051867838</c:v>
                </c:pt>
                <c:pt idx="61">
                  <c:v>4.40959786099408</c:v>
                </c:pt>
                <c:pt idx="62">
                  <c:v>4.413569029281475</c:v>
                </c:pt>
                <c:pt idx="63">
                  <c:v>4.41754539002785</c:v>
                </c:pt>
                <c:pt idx="64">
                  <c:v>4.421520814834922</c:v>
                </c:pt>
                <c:pt idx="65">
                  <c:v>4.425489192896019</c:v>
                </c:pt>
                <c:pt idx="66">
                  <c:v>4.4294444060478275</c:v>
                </c:pt>
                <c:pt idx="67">
                  <c:v>4.433380298371565</c:v>
                </c:pt>
                <c:pt idx="68">
                  <c:v>4.437290639150503</c:v>
                </c:pt>
                <c:pt idx="69">
                  <c:v>4.441169078168859</c:v>
                </c:pt>
                <c:pt idx="70">
                  <c:v>4.445009092689454</c:v>
                </c:pt>
                <c:pt idx="71">
                  <c:v>4.448803925971406</c:v>
                </c:pt>
                <c:pt idx="72">
                  <c:v>4.452546517844124</c:v>
                </c:pt>
                <c:pt idx="73">
                  <c:v>4.456229428540155</c:v>
                </c:pt>
                <c:pt idx="74">
                  <c:v>4.4598447575182245</c:v>
                </c:pt>
                <c:pt idx="75">
                  <c:v>4.463384059074652</c:v>
                </c:pt>
                <c:pt idx="76">
                  <c:v>4.46683825571721</c:v>
                </c:pt>
                <c:pt idx="77">
                  <c:v>4.470197548033409</c:v>
                </c:pt>
                <c:pt idx="78">
                  <c:v>4.47345131558941</c:v>
                </c:pt>
                <c:pt idx="79">
                  <c:v>4.476587996871523</c:v>
                </c:pt>
                <c:pt idx="80">
                  <c:v>4.479594927475287</c:v>
                </c:pt>
                <c:pt idx="81">
                  <c:v>4.482458105455865</c:v>
                </c:pt>
                <c:pt idx="82">
                  <c:v>4.4851618428808955</c:v>
                </c:pt>
                <c:pt idx="83">
                  <c:v>4.487688256453775</c:v>
                </c:pt>
                <c:pt idx="84">
                  <c:v>4.490016552293792</c:v>
                </c:pt>
                <c:pt idx="85">
                  <c:v>4.492122076262481</c:v>
                </c:pt>
                <c:pt idx="86">
                  <c:v>4.49397513717695</c:v>
                </c:pt>
                <c:pt idx="87">
                  <c:v>4.4955396691580916</c:v>
                </c:pt>
                <c:pt idx="88">
                  <c:v>4.4967718788577296</c:v>
                </c:pt>
                <c:pt idx="89">
                  <c:v>4.497619110462837</c:v>
                </c:pt>
                <c:pt idx="90">
                  <c:v>4.4980192263153</c:v>
                </c:pt>
                <c:pt idx="91">
                  <c:v>4.497900789329761</c:v>
                </c:pt>
                <c:pt idx="92">
                  <c:v>4.4971841580318825</c:v>
                </c:pt>
                <c:pt idx="93">
                  <c:v>4.495783137388898</c:v>
                </c:pt>
                <c:pt idx="94">
                  <c:v>4.493656621219722</c:v>
                </c:pt>
                <c:pt idx="95">
                  <c:v>4.49049598862387</c:v>
                </c:pt>
                <c:pt idx="96">
                  <c:v>4.486033897344428</c:v>
                </c:pt>
                <c:pt idx="97">
                  <c:v>4.479739371092327</c:v>
                </c:pt>
                <c:pt idx="98">
                  <c:v>4.470565416205639</c:v>
                </c:pt>
                <c:pt idx="99">
                  <c:v>4.455820472079354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chart'!$AB$8:$AB$108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16"/>
          <c:order val="14"/>
          <c:tx>
            <c:v>q = 0.75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chart'!$AC$8:$AC$108</c:f>
              <c:numCache>
                <c:ptCount val="101"/>
                <c:pt idx="0">
                  <c:v>6.8666185897373975</c:v>
                </c:pt>
                <c:pt idx="1">
                  <c:v>6.807099139013769</c:v>
                </c:pt>
                <c:pt idx="2">
                  <c:v>6.749862301159303</c:v>
                </c:pt>
                <c:pt idx="3">
                  <c:v>6.6948109063211785</c:v>
                </c:pt>
                <c:pt idx="4">
                  <c:v>6.64185098772907</c:v>
                </c:pt>
                <c:pt idx="5">
                  <c:v>6.590892285456234</c:v>
                </c:pt>
                <c:pt idx="6">
                  <c:v>6.541848456775782</c:v>
                </c:pt>
                <c:pt idx="7">
                  <c:v>6.494637098288881</c:v>
                </c:pt>
                <c:pt idx="8">
                  <c:v>6.4491796521445055</c:v>
                </c:pt>
                <c:pt idx="9">
                  <c:v>6.405401245672377</c:v>
                </c:pt>
                <c:pt idx="10">
                  <c:v>6.363230497528195</c:v>
                </c:pt>
                <c:pt idx="11">
                  <c:v>6.322599311950883</c:v>
                </c:pt>
                <c:pt idx="12">
                  <c:v>6.283442674582129</c:v>
                </c:pt>
                <c:pt idx="13">
                  <c:v>6.245698457573526</c:v>
                </c:pt>
                <c:pt idx="14">
                  <c:v>6.209307237769498</c:v>
                </c:pt>
                <c:pt idx="15">
                  <c:v>6.174212129155248</c:v>
                </c:pt>
                <c:pt idx="16">
                  <c:v>6.140358629167471</c:v>
                </c:pt>
                <c:pt idx="17">
                  <c:v>6.107694477627339</c:v>
                </c:pt>
                <c:pt idx="18">
                  <c:v>6.076169526766108</c:v>
                </c:pt>
                <c:pt idx="19">
                  <c:v>6.045735620904276</c:v>
                </c:pt>
                <c:pt idx="20">
                  <c:v>6.016346484672196</c:v>
                </c:pt>
                <c:pt idx="21">
                  <c:v>5.987957619100991</c:v>
                </c:pt>
                <c:pt idx="22">
                  <c:v>5.9605262053662535</c:v>
                </c:pt>
                <c:pt idx="23">
                  <c:v>5.934011016351115</c:v>
                </c:pt>
                <c:pt idx="24">
                  <c:v>5.908372336449871</c:v>
                </c:pt>
                <c:pt idx="25">
                  <c:v>5.883571890120881</c:v>
                </c:pt>
                <c:pt idx="26">
                  <c:v>5.859572779603592</c:v>
                </c:pt>
                <c:pt idx="27">
                  <c:v>5.836339431949436</c:v>
                </c:pt>
                <c:pt idx="28">
                  <c:v>5.81383755511091</c:v>
                </c:pt>
                <c:pt idx="29">
                  <c:v>5.792034102337032</c:v>
                </c:pt>
                <c:pt idx="30">
                  <c:v>5.770897243598435</c:v>
                </c:pt>
                <c:pt idx="31">
                  <c:v>5.750396342279471</c:v>
                </c:pt>
                <c:pt idx="32">
                  <c:v>5.730501934992185</c:v>
                </c:pt>
                <c:pt idx="33">
                  <c:v>5.711185712143332</c:v>
                </c:pt>
                <c:pt idx="34">
                  <c:v>5.692420496857067</c:v>
                </c:pt>
                <c:pt idx="35">
                  <c:v>5.674180220038551</c:v>
                </c:pt>
                <c:pt idx="36">
                  <c:v>5.6564398897476345</c:v>
                </c:pt>
                <c:pt idx="37">
                  <c:v>5.639175553604283</c:v>
                </c:pt>
                <c:pt idx="38">
                  <c:v>5.622364253615952</c:v>
                </c:pt>
                <c:pt idx="39">
                  <c:v>5.6059839735349355</c:v>
                </c:pt>
                <c:pt idx="40">
                  <c:v>5.590013579548954</c:v>
                </c:pt>
                <c:pt idx="41">
                  <c:v>5.574432755711361</c:v>
                </c:pt>
                <c:pt idx="42">
                  <c:v>5.559221935969633</c:v>
                </c:pt>
                <c:pt idx="43">
                  <c:v>5.544362234911217</c:v>
                </c:pt>
                <c:pt idx="44">
                  <c:v>5.529835379394889</c:v>
                </c:pt>
                <c:pt idx="45">
                  <c:v>5.515623643077705</c:v>
                </c:pt>
                <c:pt idx="46">
                  <c:v>5.501709785508832</c:v>
                </c:pt>
                <c:pt idx="47">
                  <c:v>5.488076996987324</c:v>
                </c:pt>
                <c:pt idx="48">
                  <c:v>5.474708849828674</c:v>
                </c:pt>
                <c:pt idx="49">
                  <c:v>5.461589256118708</c:v>
                </c:pt>
                <c:pt idx="50">
                  <c:v>5.4487024315139365</c:v>
                </c:pt>
                <c:pt idx="51">
                  <c:v>5.436032864226864</c:v>
                </c:pt>
                <c:pt idx="52">
                  <c:v>5.4235652880495335</c:v>
                </c:pt>
                <c:pt idx="53">
                  <c:v>5.411284658135485</c:v>
                </c:pt>
                <c:pt idx="54">
                  <c:v>5.399176128274783</c:v>
                </c:pt>
                <c:pt idx="55">
                  <c:v>5.387225028534033</c:v>
                </c:pt>
                <c:pt idx="56">
                  <c:v>5.375416842351596</c:v>
                </c:pt>
                <c:pt idx="57">
                  <c:v>5.363737182425167</c:v>
                </c:pt>
                <c:pt idx="58">
                  <c:v>5.352171764948381</c:v>
                </c:pt>
                <c:pt idx="59">
                  <c:v>5.340706381895287</c:v>
                </c:pt>
                <c:pt idx="60">
                  <c:v>5.329326871077411</c:v>
                </c:pt>
                <c:pt idx="61">
                  <c:v>5.318019083590039</c:v>
                </c:pt>
                <c:pt idx="62">
                  <c:v>5.30676884802435</c:v>
                </c:pt>
                <c:pt idx="63">
                  <c:v>5.295561930476089</c:v>
                </c:pt>
                <c:pt idx="64">
                  <c:v>5.2843839889728805</c:v>
                </c:pt>
                <c:pt idx="65">
                  <c:v>5.2732205205281035</c:v>
                </c:pt>
                <c:pt idx="66">
                  <c:v>5.262056798671409</c:v>
                </c:pt>
                <c:pt idx="67">
                  <c:v>5.250877799067259</c:v>
                </c:pt>
                <c:pt idx="68">
                  <c:v>5.239668110767936</c:v>
                </c:pt>
                <c:pt idx="69">
                  <c:v>5.228411830802282</c:v>
                </c:pt>
                <c:pt idx="70">
                  <c:v>5.217092440201964</c:v>
                </c:pt>
                <c:pt idx="71">
                  <c:v>5.205692660211064</c:v>
                </c:pt>
                <c:pt idx="72">
                  <c:v>5.194194288255783</c:v>
                </c:pt>
                <c:pt idx="73">
                  <c:v>5.182578014126575</c:v>
                </c:pt>
                <c:pt idx="74">
                  <c:v>5.17082321746961</c:v>
                </c:pt>
                <c:pt idx="75">
                  <c:v>5.158907747645044</c:v>
                </c:pt>
                <c:pt idx="76">
                  <c:v>5.146807685628036</c:v>
                </c:pt>
                <c:pt idx="77">
                  <c:v>5.134497084058578</c:v>
                </c:pt>
                <c:pt idx="78">
                  <c:v>5.121947674845792</c:v>
                </c:pt>
                <c:pt idx="79">
                  <c:v>5.109128523055251</c:v>
                </c:pt>
                <c:pt idx="80">
                  <c:v>5.096005590705438</c:v>
                </c:pt>
                <c:pt idx="81">
                  <c:v>5.08254115490946</c:v>
                </c:pt>
                <c:pt idx="82">
                  <c:v>5.068693003059666</c:v>
                </c:pt>
                <c:pt idx="83">
                  <c:v>5.054413306539704</c:v>
                </c:pt>
                <c:pt idx="84">
                  <c:v>5.039647058456948</c:v>
                </c:pt>
                <c:pt idx="85">
                  <c:v>5.0243299560977475</c:v>
                </c:pt>
                <c:pt idx="86">
                  <c:v>5.008385621490825</c:v>
                </c:pt>
                <c:pt idx="87">
                  <c:v>4.991722088359628</c:v>
                </c:pt>
                <c:pt idx="88">
                  <c:v>4.974227541226311</c:v>
                </c:pt>
                <c:pt idx="89">
                  <c:v>4.955765364590716</c:v>
                </c:pt>
                <c:pt idx="90">
                  <c:v>4.936168625727552</c:v>
                </c:pt>
                <c:pt idx="91">
                  <c:v>4.915234133029055</c:v>
                </c:pt>
                <c:pt idx="92">
                  <c:v>4.892716115104739</c:v>
                </c:pt>
                <c:pt idx="93">
                  <c:v>4.868319247711979</c:v>
                </c:pt>
                <c:pt idx="94">
                  <c:v>4.841723635062708</c:v>
                </c:pt>
                <c:pt idx="95">
                  <c:v>4.812127294615075</c:v>
                </c:pt>
                <c:pt idx="96">
                  <c:v>4.7785843166908855</c:v>
                </c:pt>
                <c:pt idx="97">
                  <c:v>4.739358654127204</c:v>
                </c:pt>
                <c:pt idx="98">
                  <c:v>4.690923789207284</c:v>
                </c:pt>
                <c:pt idx="99">
                  <c:v>4.623640629188829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chart'!$AD$8:$AD$108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0"/>
          <c:order val="15"/>
          <c:tx>
            <c:v>q = 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chart'!$A$8:$A$108</c:f>
              <c:numCache>
                <c:ptCount val="101"/>
                <c:pt idx="0">
                  <c:v>0.0007722739713914102</c:v>
                </c:pt>
                <c:pt idx="1">
                  <c:v>0.05805348336103092</c:v>
                </c:pt>
                <c:pt idx="2">
                  <c:v>0.11443564990967685</c:v>
                </c:pt>
                <c:pt idx="3">
                  <c:v>0.16997723677880944</c:v>
                </c:pt>
                <c:pt idx="4">
                  <c:v>0.22472448678006432</c:v>
                </c:pt>
                <c:pt idx="5">
                  <c:v>0.2787151677626052</c:v>
                </c:pt>
                <c:pt idx="6">
                  <c:v>0.3319811266044856</c:v>
                </c:pt>
                <c:pt idx="7">
                  <c:v>0.3845500280011138</c:v>
                </c:pt>
                <c:pt idx="8">
                  <c:v>0.43644653597206096</c:v>
                </c:pt>
                <c:pt idx="9">
                  <c:v>0.4876931150664889</c:v>
                </c:pt>
                <c:pt idx="10">
                  <c:v>0.5383105727353948</c:v>
                </c:pt>
                <c:pt idx="11">
                  <c:v>0.5883184262015275</c:v>
                </c:pt>
                <c:pt idx="12">
                  <c:v>0.6377351509234731</c:v>
                </c:pt>
                <c:pt idx="13">
                  <c:v>0.6865783496904683</c:v>
                </c:pt>
                <c:pt idx="14">
                  <c:v>0.7348648689493966</c:v>
                </c:pt>
                <c:pt idx="15">
                  <c:v>0.7826108804080513</c:v>
                </c:pt>
                <c:pt idx="16">
                  <c:v>0.8298319400769963</c:v>
                </c:pt>
                <c:pt idx="17">
                  <c:v>0.8765430328791086</c:v>
                </c:pt>
                <c:pt idx="18">
                  <c:v>0.9227586081994761</c:v>
                </c:pt>
                <c:pt idx="19">
                  <c:v>0.9684926098734219</c:v>
                </c:pt>
                <c:pt idx="20">
                  <c:v>1.013758502844084</c:v>
                </c:pt>
                <c:pt idx="21">
                  <c:v>1.0585692978727985</c:v>
                </c:pt>
                <c:pt idx="22">
                  <c:v>1.102937575124905</c:v>
                </c:pt>
                <c:pt idx="23">
                  <c:v>1.146875507088945</c:v>
                </c:pt>
                <c:pt idx="24">
                  <c:v>1.1903948810558593</c:v>
                </c:pt>
                <c:pt idx="25">
                  <c:v>1.2335071212428557</c:v>
                </c:pt>
                <c:pt idx="26">
                  <c:v>1.276223310564552</c:v>
                </c:pt>
                <c:pt idx="27">
                  <c:v>1.3185542120106388</c:v>
                </c:pt>
                <c:pt idx="28">
                  <c:v>1.3605102895712284</c:v>
                </c:pt>
                <c:pt idx="29">
                  <c:v>1.402101728648178</c:v>
                </c:pt>
                <c:pt idx="30">
                  <c:v>1.443338455897031</c:v>
                </c:pt>
                <c:pt idx="31">
                  <c:v>1.4842301584555062</c:v>
                </c:pt>
                <c:pt idx="32">
                  <c:v>1.5247863025277697</c:v>
                </c:pt>
                <c:pt idx="33">
                  <c:v>1.5650161513076764</c:v>
                </c:pt>
                <c:pt idx="34">
                  <c:v>1.6049287822374314</c:v>
                </c:pt>
                <c:pt idx="35">
                  <c:v>1.644533103610428</c:v>
                </c:pt>
                <c:pt idx="36">
                  <c:v>1.6838378705378276</c:v>
                </c:pt>
                <c:pt idx="37">
                  <c:v>1.7228517003078878</c:v>
                </c:pt>
                <c:pt idx="38">
                  <c:v>1.761583087175174</c:v>
                </c:pt>
                <c:pt idx="39">
                  <c:v>1.800040416623535</c:v>
                </c:pt>
                <c:pt idx="40">
                  <c:v>1.8382319791524948</c:v>
                </c:pt>
                <c:pt idx="41">
                  <c:v>1.876165983641608</c:v>
                </c:pt>
                <c:pt idx="42">
                  <c:v>1.9138505703514785</c:v>
                </c:pt>
                <c:pt idx="43">
                  <c:v>1.9512938236238122</c:v>
                </c:pt>
                <c:pt idx="44">
                  <c:v>1.9885037843464337</c:v>
                </c:pt>
                <c:pt idx="45">
                  <c:v>2.0254884622525027</c:v>
                </c:pt>
                <c:pt idx="46">
                  <c:v>2.062255848126896</c:v>
                </c:pt>
                <c:pt idx="47">
                  <c:v>2.098813925996722</c:v>
                </c:pt>
                <c:pt idx="48">
                  <c:v>2.1351706853879</c:v>
                </c:pt>
                <c:pt idx="49">
                  <c:v>2.1713341337355128</c:v>
                </c:pt>
                <c:pt idx="50">
                  <c:v>2.207312309043119</c:v>
                </c:pt>
                <c:pt idx="51">
                  <c:v>2.2431132928953805</c:v>
                </c:pt>
                <c:pt idx="52">
                  <c:v>2.278745223939837</c:v>
                </c:pt>
                <c:pt idx="53">
                  <c:v>2.3142163119682553</c:v>
                </c:pt>
                <c:pt idx="54">
                  <c:v>2.349534852745688</c:v>
                </c:pt>
                <c:pt idx="55">
                  <c:v>2.384709243757603</c:v>
                </c:pt>
                <c:pt idx="56">
                  <c:v>2.419748001072324</c:v>
                </c:pt>
                <c:pt idx="57">
                  <c:v>2.4546597775487164</c:v>
                </c:pt>
                <c:pt idx="58">
                  <c:v>2.489453382658293</c:v>
                </c:pt>
                <c:pt idx="59">
                  <c:v>2.524137804237632</c:v>
                </c:pt>
                <c:pt idx="60">
                  <c:v>2.5587222325423187</c:v>
                </c:pt>
                <c:pt idx="61">
                  <c:v>2.5932160870386105</c:v>
                </c:pt>
                <c:pt idx="62">
                  <c:v>2.6276290464452154</c:v>
                </c:pt>
                <c:pt idx="63">
                  <c:v>2.661971082626469</c:v>
                </c:pt>
                <c:pt idx="64">
                  <c:v>2.696252499042259</c:v>
                </c:pt>
                <c:pt idx="65">
                  <c:v>2.730483974581492</c:v>
                </c:pt>
                <c:pt idx="66">
                  <c:v>2.7646766137483083</c:v>
                </c:pt>
                <c:pt idx="67">
                  <c:v>2.798842004336992</c:v>
                </c:pt>
                <c:pt idx="68">
                  <c:v>2.832992283926153</c:v>
                </c:pt>
                <c:pt idx="69">
                  <c:v>2.8671402167480093</c:v>
                </c:pt>
                <c:pt idx="70">
                  <c:v>2.9012992827449597</c:v>
                </c:pt>
                <c:pt idx="71">
                  <c:v>2.9354837809096064</c:v>
                </c:pt>
                <c:pt idx="72">
                  <c:v>2.969708949307572</c:v>
                </c:pt>
                <c:pt idx="73">
                  <c:v>3.003991104490228</c:v>
                </c:pt>
                <c:pt idx="74">
                  <c:v>3.038347803301355</c:v>
                </c:pt>
                <c:pt idx="75">
                  <c:v>3.0727980303610734</c:v>
                </c:pt>
                <c:pt idx="76">
                  <c:v>3.1073624148016377</c:v>
                </c:pt>
                <c:pt idx="77">
                  <c:v>3.142063480246301</c:v>
                </c:pt>
                <c:pt idx="78">
                  <c:v>3.1769259328443096</c:v>
                </c:pt>
                <c:pt idx="79">
                  <c:v>3.211976993975136</c:v>
                </c:pt>
                <c:pt idx="80">
                  <c:v>3.2472467880558216</c:v>
                </c:pt>
                <c:pt idx="81">
                  <c:v>3.2827688034567992</c:v>
                </c:pt>
                <c:pt idx="82">
                  <c:v>3.3185804584981873</c:v>
                </c:pt>
                <c:pt idx="83">
                  <c:v>3.3547238285696115</c:v>
                </c:pt>
                <c:pt idx="84">
                  <c:v>3.391246629286925</c:v>
                </c:pt>
                <c:pt idx="85">
                  <c:v>3.4282036093869532</c:v>
                </c:pt>
                <c:pt idx="86">
                  <c:v>3.4656585898862753</c:v>
                </c:pt>
                <c:pt idx="87">
                  <c:v>3.5036874932593367</c:v>
                </c:pt>
                <c:pt idx="88">
                  <c:v>3.542382830024765</c:v>
                </c:pt>
                <c:pt idx="89">
                  <c:v>3.5818602269305155</c:v>
                </c:pt>
                <c:pt idx="90">
                  <c:v>3.6222676433279717</c:v>
                </c:pt>
                <c:pt idx="91">
                  <c:v>3.663797848034516</c:v>
                </c:pt>
                <c:pt idx="92">
                  <c:v>3.7067043917774685</c:v>
                </c:pt>
                <c:pt idx="93">
                  <c:v>3.751320536459474</c:v>
                </c:pt>
                <c:pt idx="94">
                  <c:v>3.798166178510552</c:v>
                </c:pt>
                <c:pt idx="95">
                  <c:v>3.8479220869475053</c:v>
                </c:pt>
                <c:pt idx="96">
                  <c:v>3.9016852492188954</c:v>
                </c:pt>
                <c:pt idx="97">
                  <c:v>3.9613509124000763</c:v>
                </c:pt>
                <c:pt idx="98">
                  <c:v>4.030876064071614</c:v>
                </c:pt>
                <c:pt idx="99">
                  <c:v>4.121666231317314</c:v>
                </c:pt>
                <c:pt idx="100">
                  <c:v>4.388257359700806</c:v>
                </c:pt>
              </c:numCache>
            </c:numRef>
          </c:xVal>
          <c:yVal>
            <c:numRef>
              <c:f>'data T-s chart'!$B$8:$B$108</c:f>
              <c:numCache>
                <c:ptCount val="101"/>
                <c:pt idx="0">
                  <c:v>0.060000010000000006</c:v>
                </c:pt>
                <c:pt idx="1">
                  <c:v>3.7993600099000004</c:v>
                </c:pt>
                <c:pt idx="2">
                  <c:v>7.5387200098000005</c:v>
                </c:pt>
                <c:pt idx="3">
                  <c:v>11.278080009700002</c:v>
                </c:pt>
                <c:pt idx="4">
                  <c:v>15.017440009600001</c:v>
                </c:pt>
                <c:pt idx="5">
                  <c:v>18.7568000095</c:v>
                </c:pt>
                <c:pt idx="6">
                  <c:v>22.4961600094</c:v>
                </c:pt>
                <c:pt idx="7">
                  <c:v>26.2355200093</c:v>
                </c:pt>
                <c:pt idx="8">
                  <c:v>29.9748800092</c:v>
                </c:pt>
                <c:pt idx="9">
                  <c:v>33.7142400091</c:v>
                </c:pt>
                <c:pt idx="10">
                  <c:v>37.453600009000006</c:v>
                </c:pt>
                <c:pt idx="11">
                  <c:v>41.19296000890001</c:v>
                </c:pt>
                <c:pt idx="12">
                  <c:v>44.93232000880001</c:v>
                </c:pt>
                <c:pt idx="13">
                  <c:v>48.671680008700015</c:v>
                </c:pt>
                <c:pt idx="14">
                  <c:v>52.41104000860002</c:v>
                </c:pt>
                <c:pt idx="15">
                  <c:v>56.15040000850002</c:v>
                </c:pt>
                <c:pt idx="16">
                  <c:v>59.889760008400025</c:v>
                </c:pt>
                <c:pt idx="17">
                  <c:v>63.62912000830003</c:v>
                </c:pt>
                <c:pt idx="18">
                  <c:v>67.36848000820002</c:v>
                </c:pt>
                <c:pt idx="19">
                  <c:v>71.10784000810003</c:v>
                </c:pt>
                <c:pt idx="20">
                  <c:v>74.84720000800003</c:v>
                </c:pt>
                <c:pt idx="21">
                  <c:v>78.58656000790003</c:v>
                </c:pt>
                <c:pt idx="22">
                  <c:v>82.32592000780004</c:v>
                </c:pt>
                <c:pt idx="23">
                  <c:v>86.06528000770004</c:v>
                </c:pt>
                <c:pt idx="24">
                  <c:v>89.80464000760004</c:v>
                </c:pt>
                <c:pt idx="25">
                  <c:v>93.54400000750005</c:v>
                </c:pt>
                <c:pt idx="26">
                  <c:v>97.28336000740005</c:v>
                </c:pt>
                <c:pt idx="27">
                  <c:v>101.02272000730005</c:v>
                </c:pt>
                <c:pt idx="28">
                  <c:v>104.76208000720005</c:v>
                </c:pt>
                <c:pt idx="29">
                  <c:v>108.50144000710006</c:v>
                </c:pt>
                <c:pt idx="30">
                  <c:v>112.24080000700006</c:v>
                </c:pt>
                <c:pt idx="31">
                  <c:v>115.98016000690006</c:v>
                </c:pt>
                <c:pt idx="32">
                  <c:v>119.71952000680007</c:v>
                </c:pt>
                <c:pt idx="33">
                  <c:v>123.45888000670007</c:v>
                </c:pt>
                <c:pt idx="34">
                  <c:v>127.19824000660007</c:v>
                </c:pt>
                <c:pt idx="35">
                  <c:v>130.93760000650008</c:v>
                </c:pt>
                <c:pt idx="36">
                  <c:v>134.67696000640007</c:v>
                </c:pt>
                <c:pt idx="37">
                  <c:v>138.41632000630005</c:v>
                </c:pt>
                <c:pt idx="38">
                  <c:v>142.15568000620004</c:v>
                </c:pt>
                <c:pt idx="39">
                  <c:v>145.89504000610003</c:v>
                </c:pt>
                <c:pt idx="40">
                  <c:v>149.63440000600002</c:v>
                </c:pt>
                <c:pt idx="41">
                  <c:v>153.3737600059</c:v>
                </c:pt>
                <c:pt idx="42">
                  <c:v>157.1131200058</c:v>
                </c:pt>
                <c:pt idx="43">
                  <c:v>160.8524800057</c:v>
                </c:pt>
                <c:pt idx="44">
                  <c:v>164.59184000559998</c:v>
                </c:pt>
                <c:pt idx="45">
                  <c:v>168.33120000549997</c:v>
                </c:pt>
                <c:pt idx="46">
                  <c:v>172.07056000539995</c:v>
                </c:pt>
                <c:pt idx="47">
                  <c:v>175.80992000529994</c:v>
                </c:pt>
                <c:pt idx="48">
                  <c:v>179.54928000519993</c:v>
                </c:pt>
                <c:pt idx="49">
                  <c:v>183.28864000509992</c:v>
                </c:pt>
                <c:pt idx="50">
                  <c:v>187.0280000049999</c:v>
                </c:pt>
                <c:pt idx="51">
                  <c:v>190.7673600048999</c:v>
                </c:pt>
                <c:pt idx="52">
                  <c:v>194.5067200047999</c:v>
                </c:pt>
                <c:pt idx="53">
                  <c:v>198.24608000469988</c:v>
                </c:pt>
                <c:pt idx="54">
                  <c:v>201.98544000459987</c:v>
                </c:pt>
                <c:pt idx="55">
                  <c:v>205.72480000449985</c:v>
                </c:pt>
                <c:pt idx="56">
                  <c:v>209.46416000439984</c:v>
                </c:pt>
                <c:pt idx="57">
                  <c:v>213.20352000429983</c:v>
                </c:pt>
                <c:pt idx="58">
                  <c:v>216.94288000419982</c:v>
                </c:pt>
                <c:pt idx="59">
                  <c:v>220.6822400040998</c:v>
                </c:pt>
                <c:pt idx="60">
                  <c:v>224.4216000039998</c:v>
                </c:pt>
                <c:pt idx="61">
                  <c:v>228.1609600038998</c:v>
                </c:pt>
                <c:pt idx="62">
                  <c:v>231.90032000379978</c:v>
                </c:pt>
                <c:pt idx="63">
                  <c:v>235.63968000369977</c:v>
                </c:pt>
                <c:pt idx="64">
                  <c:v>239.37904000359975</c:v>
                </c:pt>
                <c:pt idx="65">
                  <c:v>243.11840000349974</c:v>
                </c:pt>
                <c:pt idx="66">
                  <c:v>246.85776000339973</c:v>
                </c:pt>
                <c:pt idx="67">
                  <c:v>250.59712000329972</c:v>
                </c:pt>
                <c:pt idx="68">
                  <c:v>254.3364800031997</c:v>
                </c:pt>
                <c:pt idx="69">
                  <c:v>258.0758400030997</c:v>
                </c:pt>
                <c:pt idx="70">
                  <c:v>261.8152000029997</c:v>
                </c:pt>
                <c:pt idx="71">
                  <c:v>265.5545600028997</c:v>
                </c:pt>
                <c:pt idx="72">
                  <c:v>269.29392000279967</c:v>
                </c:pt>
                <c:pt idx="73">
                  <c:v>273.03328000269966</c:v>
                </c:pt>
                <c:pt idx="74">
                  <c:v>276.77264000259964</c:v>
                </c:pt>
                <c:pt idx="75">
                  <c:v>280.51200000249963</c:v>
                </c:pt>
                <c:pt idx="76">
                  <c:v>284.2513600023996</c:v>
                </c:pt>
                <c:pt idx="77">
                  <c:v>287.9907200022996</c:v>
                </c:pt>
                <c:pt idx="78">
                  <c:v>291.7300800021996</c:v>
                </c:pt>
                <c:pt idx="79">
                  <c:v>295.4694400020996</c:v>
                </c:pt>
                <c:pt idx="80">
                  <c:v>299.2088000019996</c:v>
                </c:pt>
                <c:pt idx="81">
                  <c:v>302.94816000189957</c:v>
                </c:pt>
                <c:pt idx="82">
                  <c:v>306.68752000179956</c:v>
                </c:pt>
                <c:pt idx="83">
                  <c:v>310.42688000169954</c:v>
                </c:pt>
                <c:pt idx="84">
                  <c:v>314.16624000159953</c:v>
                </c:pt>
                <c:pt idx="85">
                  <c:v>317.9056000014995</c:v>
                </c:pt>
                <c:pt idx="86">
                  <c:v>321.6449600013995</c:v>
                </c:pt>
                <c:pt idx="87">
                  <c:v>325.3843200012995</c:v>
                </c:pt>
                <c:pt idx="88">
                  <c:v>329.1236800011995</c:v>
                </c:pt>
                <c:pt idx="89">
                  <c:v>332.8630400010995</c:v>
                </c:pt>
                <c:pt idx="90">
                  <c:v>336.60240000099947</c:v>
                </c:pt>
                <c:pt idx="91">
                  <c:v>340.34176000089946</c:v>
                </c:pt>
                <c:pt idx="92">
                  <c:v>344.08112000079944</c:v>
                </c:pt>
                <c:pt idx="93">
                  <c:v>347.82048000069943</c:v>
                </c:pt>
                <c:pt idx="94">
                  <c:v>351.5598400005994</c:v>
                </c:pt>
                <c:pt idx="95">
                  <c:v>355.2992000004994</c:v>
                </c:pt>
                <c:pt idx="96">
                  <c:v>359.0385600003994</c:v>
                </c:pt>
                <c:pt idx="97">
                  <c:v>362.7779200002994</c:v>
                </c:pt>
                <c:pt idx="98">
                  <c:v>366.5172800001994</c:v>
                </c:pt>
                <c:pt idx="99">
                  <c:v>370.25664000009937</c:v>
                </c:pt>
                <c:pt idx="100">
                  <c:v>373.93600000000004</c:v>
                </c:pt>
              </c:numCache>
            </c:numRef>
          </c:yVal>
          <c:smooth val="1"/>
        </c:ser>
        <c:ser>
          <c:idx val="1"/>
          <c:order val="16"/>
          <c:tx>
            <c:v>q =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chart'!$D$8:$D$108</c:f>
              <c:numCache>
                <c:ptCount val="101"/>
                <c:pt idx="0">
                  <c:v>9.154152241504368</c:v>
                </c:pt>
                <c:pt idx="1">
                  <c:v>9.055740802301074</c:v>
                </c:pt>
                <c:pt idx="2">
                  <c:v>8.960670772022853</c:v>
                </c:pt>
                <c:pt idx="3">
                  <c:v>8.868793153501311</c:v>
                </c:pt>
                <c:pt idx="4">
                  <c:v>8.779967306158483</c:v>
                </c:pt>
                <c:pt idx="5">
                  <c:v>8.694060362820789</c:v>
                </c:pt>
                <c:pt idx="6">
                  <c:v>8.610946654698472</c:v>
                </c:pt>
                <c:pt idx="7">
                  <c:v>8.530507158671822</c:v>
                </c:pt>
                <c:pt idx="8">
                  <c:v>8.452628976851093</c:v>
                </c:pt>
                <c:pt idx="9">
                  <c:v>8.377204854837267</c:v>
                </c:pt>
                <c:pt idx="10">
                  <c:v>8.304132742084871</c:v>
                </c:pt>
                <c:pt idx="11">
                  <c:v>8.233315395218018</c:v>
                </c:pt>
                <c:pt idx="12">
                  <c:v>8.164660023080105</c:v>
                </c:pt>
                <c:pt idx="13">
                  <c:v>8.098077970721002</c:v>
                </c:pt>
                <c:pt idx="14">
                  <c:v>8.033484438448534</c:v>
                </c:pt>
                <c:pt idx="15">
                  <c:v>7.970798231478803</c:v>
                </c:pt>
                <c:pt idx="16">
                  <c:v>7.909941535574008</c:v>
                </c:pt>
                <c:pt idx="17">
                  <c:v>7.850839714294713</c:v>
                </c:pt>
                <c:pt idx="18">
                  <c:v>7.793421124034683</c:v>
                </c:pt>
                <c:pt idx="19">
                  <c:v>7.737616943758006</c:v>
                </c:pt>
                <c:pt idx="20">
                  <c:v>7.683361017218826</c:v>
                </c:pt>
                <c:pt idx="21">
                  <c:v>7.630589706316215</c:v>
                </c:pt>
                <c:pt idx="22">
                  <c:v>7.579241755027429</c:v>
                </c:pt>
                <c:pt idx="23">
                  <c:v>7.529258163994973</c:v>
                </c:pt>
                <c:pt idx="24">
                  <c:v>7.48058207625658</c:v>
                </c:pt>
                <c:pt idx="25">
                  <c:v>7.4331586747680305</c:v>
                </c:pt>
                <c:pt idx="26">
                  <c:v>7.386935092267901</c:v>
                </c:pt>
                <c:pt idx="27">
                  <c:v>7.341860333691337</c:v>
                </c:pt>
                <c:pt idx="28">
                  <c:v>7.297885210803303</c:v>
                </c:pt>
                <c:pt idx="29">
                  <c:v>7.254962288060151</c:v>
                </c:pt>
                <c:pt idx="30">
                  <c:v>7.213045838006538</c:v>
                </c:pt>
                <c:pt idx="31">
                  <c:v>7.172091803864127</c:v>
                </c:pt>
                <c:pt idx="32">
                  <c:v>7.1320577664568425</c:v>
                </c:pt>
                <c:pt idx="33">
                  <c:v>7.092902912317317</c:v>
                </c:pt>
                <c:pt idx="34">
                  <c:v>7.05458799978074</c:v>
                </c:pt>
                <c:pt idx="35">
                  <c:v>7.017075320115316</c:v>
                </c:pt>
                <c:pt idx="36">
                  <c:v>6.980328651250119</c:v>
                </c:pt>
                <c:pt idx="37">
                  <c:v>6.944313202397395</c:v>
                </c:pt>
                <c:pt idx="38">
                  <c:v>6.908995548756376</c:v>
                </c:pt>
                <c:pt idx="39">
                  <c:v>6.874343556440859</c:v>
                </c:pt>
                <c:pt idx="40">
                  <c:v>6.840326298696797</c:v>
                </c:pt>
                <c:pt idx="41">
                  <c:v>6.80691396527636</c:v>
                </c:pt>
                <c:pt idx="42">
                  <c:v>6.77407776743364</c:v>
                </c:pt>
                <c:pt idx="43">
                  <c:v>6.741789841349307</c:v>
                </c:pt>
                <c:pt idx="44">
                  <c:v>6.710023152852115</c:v>
                </c:pt>
                <c:pt idx="45">
                  <c:v>6.67875140608974</c:v>
                </c:pt>
                <c:pt idx="46">
                  <c:v>6.6479489583455775</c:v>
                </c:pt>
                <c:pt idx="47">
                  <c:v>6.6175907425625065</c:v>
                </c:pt>
                <c:pt idx="48">
                  <c:v>6.587652198396072</c:v>
                </c:pt>
                <c:pt idx="49">
                  <c:v>6.5581092118626785</c:v>
                </c:pt>
                <c:pt idx="50">
                  <c:v>6.5289380629546745</c:v>
                </c:pt>
                <c:pt idx="51">
                  <c:v>6.500115380032597</c:v>
                </c:pt>
                <c:pt idx="52">
                  <c:v>6.471618099423247</c:v>
                </c:pt>
                <c:pt idx="53">
                  <c:v>6.443423428472693</c:v>
                </c:pt>
                <c:pt idx="54">
                  <c:v>6.415508810319121</c:v>
                </c:pt>
                <c:pt idx="55">
                  <c:v>6.3878518888280915</c:v>
                </c:pt>
                <c:pt idx="56">
                  <c:v>6.360430472415569</c:v>
                </c:pt>
                <c:pt idx="57">
                  <c:v>6.333222495802666</c:v>
                </c:pt>
                <c:pt idx="58">
                  <c:v>6.30620597902473</c:v>
                </c:pt>
                <c:pt idx="59">
                  <c:v>6.279358983189262</c:v>
                </c:pt>
                <c:pt idx="60">
                  <c:v>6.252659562491418</c:v>
                </c:pt>
                <c:pt idx="61">
                  <c:v>6.226085711827193</c:v>
                </c:pt>
                <c:pt idx="62">
                  <c:v>6.199615308997093</c:v>
                </c:pt>
                <c:pt idx="63">
                  <c:v>6.173226050000478</c:v>
                </c:pt>
                <c:pt idx="64">
                  <c:v>6.1468953753408835</c:v>
                </c:pt>
                <c:pt idx="65">
                  <c:v>6.120600384669989</c:v>
                </c:pt>
                <c:pt idx="66">
                  <c:v>6.094317736575443</c:v>
                </c:pt>
                <c:pt idx="67">
                  <c:v>6.06802352994591</c:v>
                </c:pt>
                <c:pt idx="68">
                  <c:v>6.041693163199354</c:v>
                </c:pt>
                <c:pt idx="69">
                  <c:v>6.015301167795736</c:v>
                </c:pt>
                <c:pt idx="70">
                  <c:v>5.988821012908732</c:v>
                </c:pt>
                <c:pt idx="71">
                  <c:v>5.96222487889867</c:v>
                </c:pt>
                <c:pt idx="72">
                  <c:v>5.935483398238702</c:v>
                </c:pt>
                <c:pt idx="73">
                  <c:v>5.908565363609244</c:v>
                </c:pt>
                <c:pt idx="74">
                  <c:v>5.881437403629104</c:v>
                </c:pt>
                <c:pt idx="75">
                  <c:v>5.854063626528018</c:v>
                </c:pt>
                <c:pt idx="76">
                  <c:v>5.826405230095496</c:v>
                </c:pt>
                <c:pt idx="77">
                  <c:v>5.798420071294438</c:v>
                </c:pt>
                <c:pt idx="78">
                  <c:v>5.770062179656217</c:v>
                </c:pt>
                <c:pt idx="79">
                  <c:v>5.741281183660873</c:v>
                </c:pt>
                <c:pt idx="80">
                  <c:v>5.712021597817377</c:v>
                </c:pt>
                <c:pt idx="81">
                  <c:v>5.6822218899849695</c:v>
                </c:pt>
                <c:pt idx="82">
                  <c:v>5.651813214814169</c:v>
                </c:pt>
                <c:pt idx="83">
                  <c:v>5.62071766292506</c:v>
                </c:pt>
                <c:pt idx="84">
                  <c:v>5.588845841306209</c:v>
                </c:pt>
                <c:pt idx="85">
                  <c:v>5.556093574691618</c:v>
                </c:pt>
                <c:pt idx="86">
                  <c:v>5.522337507338309</c:v>
                </c:pt>
                <c:pt idx="87">
                  <c:v>5.487429395828291</c:v>
                </c:pt>
                <c:pt idx="88">
                  <c:v>5.451188919313333</c:v>
                </c:pt>
                <c:pt idx="89">
                  <c:v>5.413394891018857</c:v>
                </c:pt>
                <c:pt idx="90">
                  <c:v>5.373774821100642</c:v>
                </c:pt>
                <c:pt idx="91">
                  <c:v>5.33199282886324</c:v>
                </c:pt>
                <c:pt idx="92">
                  <c:v>5.28763588292081</c:v>
                </c:pt>
                <c:pt idx="93">
                  <c:v>5.2401981764241</c:v>
                </c:pt>
                <c:pt idx="94">
                  <c:v>5.189076734169946</c:v>
                </c:pt>
                <c:pt idx="95">
                  <c:v>5.132969456501076</c:v>
                </c:pt>
                <c:pt idx="96">
                  <c:v>5.070241510182653</c:v>
                </c:pt>
                <c:pt idx="97">
                  <c:v>4.997927058656501</c:v>
                </c:pt>
                <c:pt idx="98">
                  <c:v>4.9099532911370165</c:v>
                </c:pt>
                <c:pt idx="99">
                  <c:v>4.789445173150585</c:v>
                </c:pt>
                <c:pt idx="100">
                  <c:v>4.412600404171936</c:v>
                </c:pt>
              </c:numCache>
            </c:numRef>
          </c:xVal>
          <c:yVal>
            <c:numRef>
              <c:f>'data T-s chart'!$E$8:$E$108</c:f>
              <c:numCache>
                <c:ptCount val="101"/>
                <c:pt idx="0">
                  <c:v>0.060000010000000006</c:v>
                </c:pt>
                <c:pt idx="1">
                  <c:v>3.7993600099000004</c:v>
                </c:pt>
                <c:pt idx="2">
                  <c:v>7.5387200098000005</c:v>
                </c:pt>
                <c:pt idx="3">
                  <c:v>11.278080009700002</c:v>
                </c:pt>
                <c:pt idx="4">
                  <c:v>15.017440009600001</c:v>
                </c:pt>
                <c:pt idx="5">
                  <c:v>18.7568000095</c:v>
                </c:pt>
                <c:pt idx="6">
                  <c:v>22.4961600094</c:v>
                </c:pt>
                <c:pt idx="7">
                  <c:v>26.2355200093</c:v>
                </c:pt>
                <c:pt idx="8">
                  <c:v>29.9748800092</c:v>
                </c:pt>
                <c:pt idx="9">
                  <c:v>33.7142400091</c:v>
                </c:pt>
                <c:pt idx="10">
                  <c:v>37.453600009000006</c:v>
                </c:pt>
                <c:pt idx="11">
                  <c:v>41.19296000890001</c:v>
                </c:pt>
                <c:pt idx="12">
                  <c:v>44.93232000880001</c:v>
                </c:pt>
                <c:pt idx="13">
                  <c:v>48.671680008700015</c:v>
                </c:pt>
                <c:pt idx="14">
                  <c:v>52.41104000860002</c:v>
                </c:pt>
                <c:pt idx="15">
                  <c:v>56.15040000850002</c:v>
                </c:pt>
                <c:pt idx="16">
                  <c:v>59.889760008400025</c:v>
                </c:pt>
                <c:pt idx="17">
                  <c:v>63.62912000830003</c:v>
                </c:pt>
                <c:pt idx="18">
                  <c:v>67.36848000820002</c:v>
                </c:pt>
                <c:pt idx="19">
                  <c:v>71.10784000810003</c:v>
                </c:pt>
                <c:pt idx="20">
                  <c:v>74.84720000800003</c:v>
                </c:pt>
                <c:pt idx="21">
                  <c:v>78.58656000790003</c:v>
                </c:pt>
                <c:pt idx="22">
                  <c:v>82.32592000780004</c:v>
                </c:pt>
                <c:pt idx="23">
                  <c:v>86.06528000770004</c:v>
                </c:pt>
                <c:pt idx="24">
                  <c:v>89.80464000760004</c:v>
                </c:pt>
                <c:pt idx="25">
                  <c:v>93.54400000750005</c:v>
                </c:pt>
                <c:pt idx="26">
                  <c:v>97.28336000740005</c:v>
                </c:pt>
                <c:pt idx="27">
                  <c:v>101.02272000730005</c:v>
                </c:pt>
                <c:pt idx="28">
                  <c:v>104.76208000720005</c:v>
                </c:pt>
                <c:pt idx="29">
                  <c:v>108.50144000710006</c:v>
                </c:pt>
                <c:pt idx="30">
                  <c:v>112.24080000700006</c:v>
                </c:pt>
                <c:pt idx="31">
                  <c:v>115.98016000690006</c:v>
                </c:pt>
                <c:pt idx="32">
                  <c:v>119.71952000680007</c:v>
                </c:pt>
                <c:pt idx="33">
                  <c:v>123.45888000670007</c:v>
                </c:pt>
                <c:pt idx="34">
                  <c:v>127.19824000660007</c:v>
                </c:pt>
                <c:pt idx="35">
                  <c:v>130.93760000650008</c:v>
                </c:pt>
                <c:pt idx="36">
                  <c:v>134.67696000640007</c:v>
                </c:pt>
                <c:pt idx="37">
                  <c:v>138.41632000630005</c:v>
                </c:pt>
                <c:pt idx="38">
                  <c:v>142.15568000620004</c:v>
                </c:pt>
                <c:pt idx="39">
                  <c:v>145.89504000610003</c:v>
                </c:pt>
                <c:pt idx="40">
                  <c:v>149.63440000600002</c:v>
                </c:pt>
                <c:pt idx="41">
                  <c:v>153.3737600059</c:v>
                </c:pt>
                <c:pt idx="42">
                  <c:v>157.1131200058</c:v>
                </c:pt>
                <c:pt idx="43">
                  <c:v>160.8524800057</c:v>
                </c:pt>
                <c:pt idx="44">
                  <c:v>164.59184000559998</c:v>
                </c:pt>
                <c:pt idx="45">
                  <c:v>168.33120000549997</c:v>
                </c:pt>
                <c:pt idx="46">
                  <c:v>172.07056000539995</c:v>
                </c:pt>
                <c:pt idx="47">
                  <c:v>175.80992000529994</c:v>
                </c:pt>
                <c:pt idx="48">
                  <c:v>179.54928000519993</c:v>
                </c:pt>
                <c:pt idx="49">
                  <c:v>183.28864000509992</c:v>
                </c:pt>
                <c:pt idx="50">
                  <c:v>187.0280000049999</c:v>
                </c:pt>
                <c:pt idx="51">
                  <c:v>190.7673600048999</c:v>
                </c:pt>
                <c:pt idx="52">
                  <c:v>194.5067200047999</c:v>
                </c:pt>
                <c:pt idx="53">
                  <c:v>198.24608000469988</c:v>
                </c:pt>
                <c:pt idx="54">
                  <c:v>201.98544000459987</c:v>
                </c:pt>
                <c:pt idx="55">
                  <c:v>205.72480000449985</c:v>
                </c:pt>
                <c:pt idx="56">
                  <c:v>209.46416000439984</c:v>
                </c:pt>
                <c:pt idx="57">
                  <c:v>213.20352000429983</c:v>
                </c:pt>
                <c:pt idx="58">
                  <c:v>216.94288000419982</c:v>
                </c:pt>
                <c:pt idx="59">
                  <c:v>220.6822400040998</c:v>
                </c:pt>
                <c:pt idx="60">
                  <c:v>224.4216000039998</c:v>
                </c:pt>
                <c:pt idx="61">
                  <c:v>228.1609600038998</c:v>
                </c:pt>
                <c:pt idx="62">
                  <c:v>231.90032000379978</c:v>
                </c:pt>
                <c:pt idx="63">
                  <c:v>235.63968000369977</c:v>
                </c:pt>
                <c:pt idx="64">
                  <c:v>239.37904000359975</c:v>
                </c:pt>
                <c:pt idx="65">
                  <c:v>243.11840000349974</c:v>
                </c:pt>
                <c:pt idx="66">
                  <c:v>246.85776000339973</c:v>
                </c:pt>
                <c:pt idx="67">
                  <c:v>250.59712000329972</c:v>
                </c:pt>
                <c:pt idx="68">
                  <c:v>254.3364800031997</c:v>
                </c:pt>
                <c:pt idx="69">
                  <c:v>258.0758400030997</c:v>
                </c:pt>
                <c:pt idx="70">
                  <c:v>261.8152000029997</c:v>
                </c:pt>
                <c:pt idx="71">
                  <c:v>265.5545600028997</c:v>
                </c:pt>
                <c:pt idx="72">
                  <c:v>269.29392000279967</c:v>
                </c:pt>
                <c:pt idx="73">
                  <c:v>273.03328000269966</c:v>
                </c:pt>
                <c:pt idx="74">
                  <c:v>276.77264000259964</c:v>
                </c:pt>
                <c:pt idx="75">
                  <c:v>280.51200000249963</c:v>
                </c:pt>
                <c:pt idx="76">
                  <c:v>284.2513600023996</c:v>
                </c:pt>
                <c:pt idx="77">
                  <c:v>287.9907200022996</c:v>
                </c:pt>
                <c:pt idx="78">
                  <c:v>291.7300800021996</c:v>
                </c:pt>
                <c:pt idx="79">
                  <c:v>295.4694400020996</c:v>
                </c:pt>
                <c:pt idx="80">
                  <c:v>299.2088000019996</c:v>
                </c:pt>
                <c:pt idx="81">
                  <c:v>302.94816000189957</c:v>
                </c:pt>
                <c:pt idx="82">
                  <c:v>306.68752000179956</c:v>
                </c:pt>
                <c:pt idx="83">
                  <c:v>310.42688000169954</c:v>
                </c:pt>
                <c:pt idx="84">
                  <c:v>314.16624000159953</c:v>
                </c:pt>
                <c:pt idx="85">
                  <c:v>317.9056000014995</c:v>
                </c:pt>
                <c:pt idx="86">
                  <c:v>321.6449600013995</c:v>
                </c:pt>
                <c:pt idx="87">
                  <c:v>325.3843200012995</c:v>
                </c:pt>
                <c:pt idx="88">
                  <c:v>329.1236800011995</c:v>
                </c:pt>
                <c:pt idx="89">
                  <c:v>332.8630400010995</c:v>
                </c:pt>
                <c:pt idx="90">
                  <c:v>336.60240000099947</c:v>
                </c:pt>
                <c:pt idx="91">
                  <c:v>340.34176000089946</c:v>
                </c:pt>
                <c:pt idx="92">
                  <c:v>344.08112000079944</c:v>
                </c:pt>
                <c:pt idx="93">
                  <c:v>347.82048000069943</c:v>
                </c:pt>
                <c:pt idx="94">
                  <c:v>351.5598400005994</c:v>
                </c:pt>
                <c:pt idx="95">
                  <c:v>355.2992000004994</c:v>
                </c:pt>
                <c:pt idx="96">
                  <c:v>359.0385600003994</c:v>
                </c:pt>
                <c:pt idx="97">
                  <c:v>362.7779200002994</c:v>
                </c:pt>
                <c:pt idx="98">
                  <c:v>366.5172800001994</c:v>
                </c:pt>
                <c:pt idx="99">
                  <c:v>370.25664000009937</c:v>
                </c:pt>
                <c:pt idx="100">
                  <c:v>373.93600000000004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'Superheated Rankine Cycle'!$N$21:$N$30</c:f>
              <c:numCache>
                <c:ptCount val="10"/>
                <c:pt idx="0">
                  <c:v>0.4367929406142896</c:v>
                </c:pt>
                <c:pt idx="1">
                  <c:v>0.43803376597054783</c:v>
                </c:pt>
                <c:pt idx="2">
                  <c:v>1.9920831368489647</c:v>
                </c:pt>
                <c:pt idx="3">
                  <c:v>2.001972992730713</c:v>
                </c:pt>
                <c:pt idx="4">
                  <c:v>3.20765100777783</c:v>
                </c:pt>
                <c:pt idx="5">
                  <c:v>5.744848808660433</c:v>
                </c:pt>
                <c:pt idx="6">
                  <c:v>6.3656745222425775</c:v>
                </c:pt>
                <c:pt idx="7">
                  <c:v>6.545800421242152</c:v>
                </c:pt>
                <c:pt idx="8">
                  <c:v>6.899313561251776</c:v>
                </c:pt>
                <c:pt idx="9">
                  <c:v>0.4367929406142896</c:v>
                </c:pt>
              </c:numCache>
            </c:numRef>
          </c:xVal>
          <c:yVal>
            <c:numRef>
              <c:f>'Superheated Rankine Cycle'!$O$21:$O$30</c:f>
              <c:numCache>
                <c:ptCount val="10"/>
                <c:pt idx="0">
                  <c:v>30</c:v>
                </c:pt>
                <c:pt idx="1">
                  <c:v>30.105407162881477</c:v>
                </c:pt>
                <c:pt idx="2">
                  <c:v>164.95275255074193</c:v>
                </c:pt>
                <c:pt idx="3">
                  <c:v>166.85829157336553</c:v>
                </c:pt>
                <c:pt idx="4">
                  <c:v>295.00912122931084</c:v>
                </c:pt>
                <c:pt idx="5">
                  <c:v>295.00912122931084</c:v>
                </c:pt>
                <c:pt idx="6">
                  <c:v>400</c:v>
                </c:pt>
                <c:pt idx="7">
                  <c:v>164.95275255074193</c:v>
                </c:pt>
                <c:pt idx="8">
                  <c:v>30</c:v>
                </c:pt>
                <c:pt idx="9">
                  <c:v>30</c:v>
                </c:pt>
              </c:numCache>
            </c:numRef>
          </c:yVal>
          <c:smooth val="1"/>
        </c:ser>
        <c:ser>
          <c:idx val="18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'Superheated Rankine Cycle'!$N$32:$N$34</c:f>
              <c:numCache>
                <c:ptCount val="3"/>
                <c:pt idx="0">
                  <c:v>6.545800421242152</c:v>
                </c:pt>
                <c:pt idx="1">
                  <c:v>6.545800421242152</c:v>
                </c:pt>
                <c:pt idx="2">
                  <c:v>1.9920831368489647</c:v>
                </c:pt>
              </c:numCache>
            </c:numRef>
          </c:xVal>
          <c:yVal>
            <c:numRef>
              <c:f>'Superheated Rankine Cycle'!$O$32:$O$34</c:f>
              <c:numCache>
                <c:ptCount val="3"/>
                <c:pt idx="0">
                  <c:v>164.95275255074193</c:v>
                </c:pt>
                <c:pt idx="1">
                  <c:v>164.95275255074193</c:v>
                </c:pt>
                <c:pt idx="2">
                  <c:v>164.95275255074193</c:v>
                </c:pt>
              </c:numCache>
            </c:numRef>
          </c:yVal>
          <c:smooth val="1"/>
        </c:ser>
        <c:axId val="36818449"/>
        <c:axId val="62930586"/>
      </c:scatterChart>
      <c:valAx>
        <c:axId val="3681844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 [kJ/kg]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crossBetween val="midCat"/>
        <c:dispUnits/>
      </c:valAx>
      <c:valAx>
        <c:axId val="6293058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9" right="2.67" top="4.81" bottom="2.22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0.1095</cdr:y>
    </cdr:from>
    <cdr:to>
      <cdr:x>0.9765</cdr:x>
      <cdr:y>0.91675</cdr:y>
    </cdr:to>
    <cdr:grpSp>
      <cdr:nvGrpSpPr>
        <cdr:cNvPr id="1" name="Group 21"/>
        <cdr:cNvGrpSpPr>
          <a:grpSpLocks/>
        </cdr:cNvGrpSpPr>
      </cdr:nvGrpSpPr>
      <cdr:grpSpPr>
        <a:xfrm>
          <a:off x="971550" y="790575"/>
          <a:ext cx="5648325" cy="5848350"/>
          <a:chOff x="964235" y="773925"/>
          <a:chExt cx="5576156" cy="5605730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4049243" y="5512168"/>
            <a:ext cx="482337" cy="18078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 = 1 bar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3230942" y="4371402"/>
            <a:ext cx="542281" cy="18078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 = 50 bar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4608253" y="876230"/>
            <a:ext cx="135222" cy="3167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>
                <a:latin typeface="Tahoma"/>
                <a:ea typeface="Tahoma"/>
                <a:cs typeface="Tahoma"/>
              </a:rPr>
              <a:t>P=P</a:t>
            </a:r>
            <a:r>
              <a:rPr lang="en-US" cap="none" sz="800" b="0" i="0" u="none" baseline="-25000">
                <a:latin typeface="Tahoma"/>
                <a:ea typeface="Tahoma"/>
                <a:cs typeface="Tahoma"/>
              </a:rPr>
              <a:t>crit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4142644" y="773925"/>
            <a:ext cx="128252" cy="4764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P=661.92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366610" y="1476043"/>
            <a:ext cx="165891" cy="6572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v=0.5 m3/kg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4220710" y="1731103"/>
            <a:ext cx="135222" cy="369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v=0.01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3724432" y="1431197"/>
            <a:ext cx="131040" cy="3069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>
                <a:latin typeface="Tahoma"/>
                <a:ea typeface="Tahoma"/>
                <a:cs typeface="Tahoma"/>
              </a:rPr>
              <a:t>v=v</a:t>
            </a:r>
            <a:r>
              <a:rPr lang="en-US" cap="none" sz="800" b="0" i="0" u="none" baseline="-25000">
                <a:latin typeface="Tahoma"/>
                <a:ea typeface="Tahoma"/>
                <a:cs typeface="Tahoma"/>
              </a:rPr>
              <a:t>crit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3249065" y="2269253"/>
            <a:ext cx="140798" cy="4526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v=0.002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2154744" y="5126774"/>
            <a:ext cx="164497" cy="3853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h=1000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6021808" y="5838702"/>
            <a:ext cx="416818" cy="1359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/>
              <a:t>h=2600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6032961" y="4348979"/>
            <a:ext cx="369420" cy="1429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/>
              <a:t>h=3000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815491" y="2298684"/>
            <a:ext cx="724900" cy="151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/>
              <a:t>h=3600 kJ/kg</a:t>
            </a:r>
          </a:p>
        </cdr:txBody>
      </cdr:sp>
      <cdr:sp>
        <cdr:nvSpPr>
          <cdr:cNvPr id="14" name="TextBox 15"/>
          <cdr:cNvSpPr txBox="1">
            <a:spLocks noChangeArrowheads="1"/>
          </cdr:cNvSpPr>
        </cdr:nvSpPr>
        <cdr:spPr>
          <a:xfrm>
            <a:off x="3078992" y="5974641"/>
            <a:ext cx="122675" cy="4050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q=0.5</a:t>
            </a:r>
          </a:p>
        </cdr:txBody>
      </cdr:sp>
      <cdr:sp>
        <cdr:nvSpPr>
          <cdr:cNvPr id="15" name="TextBox 16"/>
          <cdr:cNvSpPr txBox="1">
            <a:spLocks noChangeArrowheads="1"/>
          </cdr:cNvSpPr>
        </cdr:nvSpPr>
        <cdr:spPr>
          <a:xfrm>
            <a:off x="2082254" y="5901767"/>
            <a:ext cx="124069" cy="4022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q=0.25</a:t>
            </a:r>
          </a:p>
        </cdr:txBody>
      </cdr:sp>
      <cdr:sp>
        <cdr:nvSpPr>
          <cdr:cNvPr id="16" name="TextBox 17"/>
          <cdr:cNvSpPr txBox="1">
            <a:spLocks noChangeArrowheads="1"/>
          </cdr:cNvSpPr>
        </cdr:nvSpPr>
        <cdr:spPr>
          <a:xfrm>
            <a:off x="4208164" y="5901767"/>
            <a:ext cx="140798" cy="4022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q=0.75</a:t>
            </a:r>
          </a:p>
        </cdr:txBody>
      </cdr:sp>
      <cdr:sp>
        <cdr:nvSpPr>
          <cdr:cNvPr id="17" name="TextBox 18"/>
          <cdr:cNvSpPr txBox="1">
            <a:spLocks noChangeArrowheads="1"/>
          </cdr:cNvSpPr>
        </cdr:nvSpPr>
        <cdr:spPr>
          <a:xfrm>
            <a:off x="964235" y="6072741"/>
            <a:ext cx="124069" cy="2312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</a:t>
            </a:r>
          </a:p>
        </cdr:txBody>
      </cdr:sp>
      <cdr:sp>
        <cdr:nvSpPr>
          <cdr:cNvPr id="18" name="TextBox 19"/>
          <cdr:cNvSpPr txBox="1">
            <a:spLocks noChangeArrowheads="1"/>
          </cdr:cNvSpPr>
        </cdr:nvSpPr>
        <cdr:spPr>
          <a:xfrm>
            <a:off x="5280180" y="6043311"/>
            <a:ext cx="122675" cy="2438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q=1</a:t>
            </a:r>
          </a:p>
        </cdr:txBody>
      </cdr:sp>
    </cdr:grpSp>
  </cdr:relSizeAnchor>
  <cdr:relSizeAnchor xmlns:cdr="http://schemas.openxmlformats.org/drawingml/2006/chartDrawing">
    <cdr:from>
      <cdr:x>0.10375</cdr:x>
      <cdr:y>0.83925</cdr:y>
    </cdr:from>
    <cdr:to>
      <cdr:x>0.146</cdr:x>
      <cdr:y>0.867</cdr:y>
    </cdr:to>
    <cdr:sp>
      <cdr:nvSpPr>
        <cdr:cNvPr id="19" name="TextBox 22"/>
        <cdr:cNvSpPr txBox="1">
          <a:spLocks noChangeArrowheads="1"/>
        </cdr:cNvSpPr>
      </cdr:nvSpPr>
      <cdr:spPr>
        <a:xfrm>
          <a:off x="695325" y="6067425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1, 2</a:t>
          </a:r>
        </a:p>
      </cdr:txBody>
    </cdr:sp>
  </cdr:relSizeAnchor>
  <cdr:relSizeAnchor xmlns:cdr="http://schemas.openxmlformats.org/drawingml/2006/chartDrawing">
    <cdr:from>
      <cdr:x>0.654</cdr:x>
      <cdr:y>0.47675</cdr:y>
    </cdr:from>
    <cdr:to>
      <cdr:x>0.675</cdr:x>
      <cdr:y>0.5045</cdr:y>
    </cdr:to>
    <cdr:sp>
      <cdr:nvSpPr>
        <cdr:cNvPr id="20" name="TextBox 23"/>
        <cdr:cNvSpPr txBox="1">
          <a:spLocks noChangeArrowheads="1"/>
        </cdr:cNvSpPr>
      </cdr:nvSpPr>
      <cdr:spPr>
        <a:xfrm>
          <a:off x="4429125" y="3448050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0.7085</cdr:x>
      <cdr:y>0.871</cdr:y>
    </cdr:from>
    <cdr:to>
      <cdr:x>0.7295</cdr:x>
      <cdr:y>0.89875</cdr:y>
    </cdr:to>
    <cdr:sp>
      <cdr:nvSpPr>
        <cdr:cNvPr id="21" name="TextBox 24"/>
        <cdr:cNvSpPr txBox="1">
          <a:spLocks noChangeArrowheads="1"/>
        </cdr:cNvSpPr>
      </cdr:nvSpPr>
      <cdr:spPr>
        <a:xfrm>
          <a:off x="4800600" y="62960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0.2145</cdr:x>
      <cdr:y>0.716</cdr:y>
    </cdr:from>
    <cdr:to>
      <cdr:x>0.25675</cdr:x>
      <cdr:y>0.74375</cdr:y>
    </cdr:to>
    <cdr:sp>
      <cdr:nvSpPr>
        <cdr:cNvPr id="22" name="TextBox 25"/>
        <cdr:cNvSpPr txBox="1">
          <a:spLocks noChangeArrowheads="1"/>
        </cdr:cNvSpPr>
      </cdr:nvSpPr>
      <cdr:spPr>
        <a:xfrm>
          <a:off x="1447800" y="518160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3, 4</a:t>
          </a:r>
        </a:p>
      </cdr:txBody>
    </cdr:sp>
  </cdr:relSizeAnchor>
  <cdr:relSizeAnchor xmlns:cdr="http://schemas.openxmlformats.org/drawingml/2006/chartDrawing">
    <cdr:from>
      <cdr:x>0.697</cdr:x>
      <cdr:y>0.69975</cdr:y>
    </cdr:from>
    <cdr:to>
      <cdr:x>0.718</cdr:x>
      <cdr:y>0.7275</cdr:y>
    </cdr:to>
    <cdr:sp>
      <cdr:nvSpPr>
        <cdr:cNvPr id="23" name="TextBox 26"/>
        <cdr:cNvSpPr txBox="1">
          <a:spLocks noChangeArrowheads="1"/>
        </cdr:cNvSpPr>
      </cdr:nvSpPr>
      <cdr:spPr>
        <a:xfrm>
          <a:off x="4724400" y="505777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13</xdr:row>
      <xdr:rowOff>123825</xdr:rowOff>
    </xdr:from>
    <xdr:to>
      <xdr:col>21</xdr:col>
      <xdr:colOff>285750</xdr:colOff>
      <xdr:row>52</xdr:row>
      <xdr:rowOff>114300</xdr:rowOff>
    </xdr:to>
    <xdr:graphicFrame>
      <xdr:nvGraphicFramePr>
        <xdr:cNvPr id="1" name="Chart 2"/>
        <xdr:cNvGraphicFramePr/>
      </xdr:nvGraphicFramePr>
      <xdr:xfrm>
        <a:off x="5543550" y="2333625"/>
        <a:ext cx="67818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0.10575</cdr:y>
    </cdr:from>
    <cdr:to>
      <cdr:x>0.987</cdr:x>
      <cdr:y>0.92225</cdr:y>
    </cdr:to>
    <cdr:grpSp>
      <cdr:nvGrpSpPr>
        <cdr:cNvPr id="1" name="Group 1"/>
        <cdr:cNvGrpSpPr>
          <a:grpSpLocks/>
        </cdr:cNvGrpSpPr>
      </cdr:nvGrpSpPr>
      <cdr:grpSpPr>
        <a:xfrm>
          <a:off x="1276350" y="809625"/>
          <a:ext cx="10715625" cy="6324600"/>
          <a:chOff x="964235" y="773925"/>
          <a:chExt cx="5576156" cy="5605730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049243" y="5512168"/>
            <a:ext cx="482337" cy="18078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P = 1 bar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3230942" y="4371402"/>
            <a:ext cx="542281" cy="18078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P = 50 bar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608253" y="876230"/>
            <a:ext cx="135222" cy="3167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>
                <a:latin typeface="Tahoma"/>
                <a:ea typeface="Tahoma"/>
                <a:cs typeface="Tahoma"/>
              </a:rPr>
              <a:t>P=P</a:t>
            </a:r>
            <a:r>
              <a:rPr lang="en-US" cap="none" sz="875" b="0" i="0" u="none" baseline="-25000">
                <a:latin typeface="Tahoma"/>
                <a:ea typeface="Tahoma"/>
                <a:cs typeface="Tahoma"/>
              </a:rPr>
              <a:t>crit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142644" y="773925"/>
            <a:ext cx="128252" cy="4764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P=661.92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5366610" y="1476043"/>
            <a:ext cx="165891" cy="6572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v=0.5 m3/kg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220710" y="1731103"/>
            <a:ext cx="135222" cy="369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v=0.01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3724432" y="1431197"/>
            <a:ext cx="131040" cy="3069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>
                <a:latin typeface="Tahoma"/>
                <a:ea typeface="Tahoma"/>
                <a:cs typeface="Tahoma"/>
              </a:rPr>
              <a:t>v=v</a:t>
            </a:r>
            <a:r>
              <a:rPr lang="en-US" cap="none" sz="875" b="0" i="0" u="none" baseline="-25000">
                <a:latin typeface="Tahoma"/>
                <a:ea typeface="Tahoma"/>
                <a:cs typeface="Tahoma"/>
              </a:rPr>
              <a:t>crit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249065" y="2269253"/>
            <a:ext cx="140798" cy="4526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v=0.002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2154744" y="5126774"/>
            <a:ext cx="164497" cy="3853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h=1000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6021808" y="5838702"/>
            <a:ext cx="416818" cy="1359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75" b="0" i="0" u="none" baseline="0"/>
              <a:t>h=2600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6032961" y="4348979"/>
            <a:ext cx="369420" cy="1429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75" b="0" i="0" u="none" baseline="0"/>
              <a:t>h=3000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5815491" y="2298684"/>
            <a:ext cx="724900" cy="151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75" b="0" i="0" u="none" baseline="0"/>
              <a:t>h=3600 kJ/kg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3078992" y="5974641"/>
            <a:ext cx="122675" cy="4050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q=0.5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2082254" y="5901767"/>
            <a:ext cx="124069" cy="4022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q=0.25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4208164" y="5901767"/>
            <a:ext cx="140798" cy="4022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q=0.75</a:t>
            </a:r>
          </a:p>
        </cdr:txBody>
      </cdr:sp>
      <cdr:sp>
        <cdr:nvSpPr>
          <cdr:cNvPr id="17" name="TextBox 17"/>
          <cdr:cNvSpPr txBox="1">
            <a:spLocks noChangeArrowheads="1"/>
          </cdr:cNvSpPr>
        </cdr:nvSpPr>
        <cdr:spPr>
          <a:xfrm>
            <a:off x="964235" y="6072741"/>
            <a:ext cx="124069" cy="2312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q=0</a:t>
            </a:r>
          </a:p>
        </cdr:txBody>
      </cdr:sp>
      <cdr:sp>
        <cdr:nvSpPr>
          <cdr:cNvPr id="18" name="TextBox 18"/>
          <cdr:cNvSpPr txBox="1">
            <a:spLocks noChangeArrowheads="1"/>
          </cdr:cNvSpPr>
        </cdr:nvSpPr>
        <cdr:spPr>
          <a:xfrm>
            <a:off x="5280180" y="6043311"/>
            <a:ext cx="122675" cy="2438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75" b="0" i="0" u="none" baseline="0"/>
              <a:t>q=1</a:t>
            </a:r>
          </a:p>
        </cdr:txBody>
      </cdr:sp>
    </cdr:grpSp>
  </cdr:relSizeAnchor>
  <cdr:relSizeAnchor xmlns:cdr="http://schemas.openxmlformats.org/drawingml/2006/chartDrawing">
    <cdr:from>
      <cdr:x>0.0625</cdr:x>
      <cdr:y>0.844</cdr:y>
    </cdr:from>
    <cdr:to>
      <cdr:x>0.08625</cdr:x>
      <cdr:y>0.87025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752475" y="653415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1, 2</a:t>
          </a:r>
        </a:p>
      </cdr:txBody>
    </cdr:sp>
  </cdr:relSizeAnchor>
  <cdr:relSizeAnchor xmlns:cdr="http://schemas.openxmlformats.org/drawingml/2006/chartDrawing">
    <cdr:from>
      <cdr:x>0.6465</cdr:x>
      <cdr:y>0.47725</cdr:y>
    </cdr:from>
    <cdr:to>
      <cdr:x>0.65825</cdr:x>
      <cdr:y>0.5035</cdr:y>
    </cdr:to>
    <cdr:sp>
      <cdr:nvSpPr>
        <cdr:cNvPr id="20" name="TextBox 20"/>
        <cdr:cNvSpPr txBox="1">
          <a:spLocks noChangeArrowheads="1"/>
        </cdr:cNvSpPr>
      </cdr:nvSpPr>
      <cdr:spPr>
        <a:xfrm>
          <a:off x="7848600" y="3695700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0.70425</cdr:x>
      <cdr:y>0.876</cdr:y>
    </cdr:from>
    <cdr:to>
      <cdr:x>0.716</cdr:x>
      <cdr:y>0.90225</cdr:y>
    </cdr:to>
    <cdr:sp>
      <cdr:nvSpPr>
        <cdr:cNvPr id="21" name="TextBox 21"/>
        <cdr:cNvSpPr txBox="1">
          <a:spLocks noChangeArrowheads="1"/>
        </cdr:cNvSpPr>
      </cdr:nvSpPr>
      <cdr:spPr>
        <a:xfrm>
          <a:off x="8553450" y="6781800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0.18</cdr:x>
      <cdr:y>0.71925</cdr:y>
    </cdr:from>
    <cdr:to>
      <cdr:x>0.20375</cdr:x>
      <cdr:y>0.7455</cdr:y>
    </cdr:to>
    <cdr:sp>
      <cdr:nvSpPr>
        <cdr:cNvPr id="22" name="TextBox 22"/>
        <cdr:cNvSpPr txBox="1">
          <a:spLocks noChangeArrowheads="1"/>
        </cdr:cNvSpPr>
      </cdr:nvSpPr>
      <cdr:spPr>
        <a:xfrm>
          <a:off x="2181225" y="556260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3, 4</a:t>
          </a:r>
        </a:p>
      </cdr:txBody>
    </cdr:sp>
  </cdr:relSizeAnchor>
  <cdr:relSizeAnchor xmlns:cdr="http://schemas.openxmlformats.org/drawingml/2006/chartDrawing">
    <cdr:from>
      <cdr:x>0.692</cdr:x>
      <cdr:y>0.70275</cdr:y>
    </cdr:from>
    <cdr:to>
      <cdr:x>0.70375</cdr:x>
      <cdr:y>0.729</cdr:y>
    </cdr:to>
    <cdr:sp>
      <cdr:nvSpPr>
        <cdr:cNvPr id="23" name="TextBox 23"/>
        <cdr:cNvSpPr txBox="1">
          <a:spLocks noChangeArrowheads="1"/>
        </cdr:cNvSpPr>
      </cdr:nvSpPr>
      <cdr:spPr>
        <a:xfrm>
          <a:off x="8401050" y="543877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743825"/>
    <xdr:graphicFrame>
      <xdr:nvGraphicFramePr>
        <xdr:cNvPr id="1" name="Shape 1025"/>
        <xdr:cNvGraphicFramePr/>
      </xdr:nvGraphicFramePr>
      <xdr:xfrm>
        <a:off x="0" y="0"/>
        <a:ext cx="121539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FluidProp\FluidPro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s"/>
    </sheetNames>
    <definedNames>
      <definedName name="VaporQu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PageLayoutView="0" workbookViewId="0" topLeftCell="A26">
      <selection activeCell="B63" sqref="B63"/>
    </sheetView>
  </sheetViews>
  <sheetFormatPr defaultColWidth="9.140625" defaultRowHeight="12.75"/>
  <cols>
    <col min="2" max="2" width="8.8515625" style="0" customWidth="1"/>
    <col min="5" max="5" width="11.00390625" style="0" bestFit="1" customWidth="1"/>
    <col min="6" max="6" width="11.421875" style="0" bestFit="1" customWidth="1"/>
    <col min="7" max="7" width="5.00390625" style="0" customWidth="1"/>
    <col min="8" max="8" width="2.8515625" style="0" customWidth="1"/>
    <col min="9" max="9" width="4.28125" style="0" customWidth="1"/>
  </cols>
  <sheetData>
    <row r="1" ht="18">
      <c r="A1" s="1" t="s">
        <v>90</v>
      </c>
    </row>
    <row r="3" spans="3:4" ht="12.75">
      <c r="C3" s="2" t="s">
        <v>0</v>
      </c>
      <c r="D3" s="3" t="str">
        <f>_XLL.SETFLUID("IF97","H2O")</f>
        <v>IF97</v>
      </c>
    </row>
    <row r="5" ht="12.75">
      <c r="A5" s="3" t="s">
        <v>1</v>
      </c>
    </row>
    <row r="7" spans="1:10" ht="12.75">
      <c r="A7" t="s">
        <v>2</v>
      </c>
      <c r="B7" t="s">
        <v>3</v>
      </c>
      <c r="F7">
        <v>303.15</v>
      </c>
      <c r="G7" t="s">
        <v>4</v>
      </c>
      <c r="H7" s="4" t="s">
        <v>5</v>
      </c>
      <c r="I7">
        <f>F7-273.15</f>
        <v>30</v>
      </c>
      <c r="J7" t="s">
        <v>6</v>
      </c>
    </row>
    <row r="8" spans="1:10" ht="12.75">
      <c r="A8" t="s">
        <v>11</v>
      </c>
      <c r="B8" t="s">
        <v>7</v>
      </c>
      <c r="F8">
        <v>8</v>
      </c>
      <c r="G8" t="s">
        <v>8</v>
      </c>
      <c r="H8" s="4" t="s">
        <v>5</v>
      </c>
      <c r="I8">
        <f>F8*10</f>
        <v>80</v>
      </c>
      <c r="J8" t="s">
        <v>9</v>
      </c>
    </row>
    <row r="9" spans="1:10" ht="12.75">
      <c r="A9" t="s">
        <v>61</v>
      </c>
      <c r="B9" t="s">
        <v>10</v>
      </c>
      <c r="F9">
        <v>673.15</v>
      </c>
      <c r="G9" t="s">
        <v>4</v>
      </c>
      <c r="H9" s="4" t="s">
        <v>5</v>
      </c>
      <c r="I9">
        <f>F9-273.15</f>
        <v>400</v>
      </c>
      <c r="J9" t="s">
        <v>6</v>
      </c>
    </row>
    <row r="10" spans="1:10" ht="12.75">
      <c r="A10" t="s">
        <v>59</v>
      </c>
      <c r="B10" t="s">
        <v>60</v>
      </c>
      <c r="F10">
        <v>0.7</v>
      </c>
      <c r="G10" t="s">
        <v>8</v>
      </c>
      <c r="H10" s="4" t="s">
        <v>5</v>
      </c>
      <c r="I10">
        <f>F10*10</f>
        <v>7</v>
      </c>
      <c r="J10" t="s">
        <v>9</v>
      </c>
    </row>
    <row r="11" spans="1:10" ht="12.75">
      <c r="A11" t="s">
        <v>62</v>
      </c>
      <c r="B11" t="s">
        <v>12</v>
      </c>
      <c r="F11">
        <f>F7</f>
        <v>303.15</v>
      </c>
      <c r="G11" t="s">
        <v>4</v>
      </c>
      <c r="H11" s="4" t="s">
        <v>5</v>
      </c>
      <c r="I11">
        <f>_T1</f>
        <v>30</v>
      </c>
      <c r="J11" t="s">
        <v>6</v>
      </c>
    </row>
    <row r="12" ht="12.75" customHeight="1"/>
    <row r="13" ht="15.75" customHeight="1">
      <c r="A13" t="s">
        <v>13</v>
      </c>
    </row>
    <row r="14" ht="12.75" customHeight="1"/>
    <row r="15" spans="1:4" ht="15" customHeight="1">
      <c r="A15" t="s">
        <v>63</v>
      </c>
      <c r="C15" s="5" t="s">
        <v>21</v>
      </c>
      <c r="D15" s="6">
        <v>0.65</v>
      </c>
    </row>
    <row r="16" spans="1:4" ht="15" customHeight="1">
      <c r="A16" t="s">
        <v>64</v>
      </c>
      <c r="C16" s="5" t="s">
        <v>21</v>
      </c>
      <c r="D16" s="6">
        <v>0.65</v>
      </c>
    </row>
    <row r="17" spans="1:4" ht="14.25" customHeight="1">
      <c r="A17" t="s">
        <v>14</v>
      </c>
      <c r="C17" s="5" t="s">
        <v>21</v>
      </c>
      <c r="D17" s="6">
        <v>0.85</v>
      </c>
    </row>
    <row r="19" ht="12.75">
      <c r="A19" s="3" t="s">
        <v>65</v>
      </c>
    </row>
    <row r="20" spans="1:15" ht="15.75">
      <c r="A20" s="7" t="s">
        <v>22</v>
      </c>
      <c r="B20" s="8">
        <f>_XLL.ENTHALPY(Fluid,"Tq",_T1,0)</f>
        <v>125.74516193807358</v>
      </c>
      <c r="C20" t="s">
        <v>15</v>
      </c>
      <c r="N20" s="30" t="s">
        <v>58</v>
      </c>
      <c r="O20" s="30" t="s">
        <v>49</v>
      </c>
    </row>
    <row r="21" spans="1:15" ht="15.75">
      <c r="A21" s="7" t="s">
        <v>23</v>
      </c>
      <c r="B21" s="9">
        <f>_XLL.ENTROPY(Fluid,"Tq",_T1,0)</f>
        <v>0.4367929406142896</v>
      </c>
      <c r="C21" t="s">
        <v>16</v>
      </c>
      <c r="M21">
        <v>1</v>
      </c>
      <c r="N21" s="31">
        <f>_s1</f>
        <v>0.4367929406142896</v>
      </c>
      <c r="O21" s="13">
        <f>_T1</f>
        <v>30</v>
      </c>
    </row>
    <row r="22" spans="1:15" ht="15.75">
      <c r="A22" s="7" t="s">
        <v>30</v>
      </c>
      <c r="B22" s="9">
        <f>_XLL.PRESSURE(Fluid,"Tq",_T1,0)</f>
        <v>0.042466883405480604</v>
      </c>
      <c r="C22" t="s">
        <v>17</v>
      </c>
      <c r="E22" t="s">
        <v>34</v>
      </c>
      <c r="M22">
        <v>2</v>
      </c>
      <c r="N22" s="31">
        <f>_XLL.ENTROPY(Fluid,"Ph",_P6,_h2)</f>
        <v>0.43803376597054783</v>
      </c>
      <c r="O22" s="13">
        <f>_XLL.TEMPERATURE(Fluid,"Ph",_P6,_h2)</f>
        <v>30.105407162881477</v>
      </c>
    </row>
    <row r="23" spans="1:15" ht="15.75">
      <c r="A23" s="7"/>
      <c r="B23" s="9"/>
      <c r="E23" s="7" t="s">
        <v>29</v>
      </c>
      <c r="F23" s="12">
        <f>_XLL.SPECVOLUME(Fluid,"Ph",_P1,_h1)</f>
        <v>0.0010044104837303315</v>
      </c>
      <c r="G23" s="4" t="s">
        <v>18</v>
      </c>
      <c r="M23">
        <v>3</v>
      </c>
      <c r="N23" s="31">
        <f>_s3</f>
        <v>1.9920831368489647</v>
      </c>
      <c r="O23" s="13">
        <f>_XLL.TEMPERATURE(Fluid,"Pq",_P3,0)</f>
        <v>164.95275255074193</v>
      </c>
    </row>
    <row r="24" spans="1:15" ht="15.75">
      <c r="A24" s="7" t="s">
        <v>24</v>
      </c>
      <c r="B24" s="8">
        <f>_XLL.ENTHALPY(Fluid,"Ps",_P6,_s1)</f>
        <v>126.44387702586828</v>
      </c>
      <c r="C24" t="s">
        <v>15</v>
      </c>
      <c r="E24" s="7" t="s">
        <v>24</v>
      </c>
      <c r="F24" s="13">
        <f>_h1+_v1*(_P3-_P1)*100</f>
        <v>126.44398385839443</v>
      </c>
      <c r="G24" s="4" t="s">
        <v>15</v>
      </c>
      <c r="M24">
        <v>4</v>
      </c>
      <c r="N24" s="31">
        <f>_XLL.ENTROPY(Fluid,"Ph",_P4,_h4)</f>
        <v>2.001972992730713</v>
      </c>
      <c r="O24" s="13">
        <f>_XLL.TEMPERATURE(Fluid,"Ph",_P4,_h4)</f>
        <v>166.85829157336553</v>
      </c>
    </row>
    <row r="25" spans="1:15" ht="15.75">
      <c r="A25" s="7" t="s">
        <v>25</v>
      </c>
      <c r="B25" s="8">
        <f>_h1+(_h2is-_h1)/eta_p2</f>
        <v>126.8201082269885</v>
      </c>
      <c r="C25" t="s">
        <v>15</v>
      </c>
      <c r="M25" s="7" t="s">
        <v>80</v>
      </c>
      <c r="N25" s="31">
        <f>_XLL.ENTROPY(Fluid,"Pq",_P4,0)</f>
        <v>3.20765100777783</v>
      </c>
      <c r="O25" s="13">
        <f>_XLL.TEMPERATURE(Fluid,"Pq",_P4,0)</f>
        <v>295.00912122931084</v>
      </c>
    </row>
    <row r="26" spans="13:15" ht="12.75">
      <c r="M26" s="7" t="s">
        <v>81</v>
      </c>
      <c r="N26" s="31">
        <f>_XLL.ENTROPY(Fluid,"Pq",_P4,1)</f>
        <v>5.744848808660433</v>
      </c>
      <c r="O26" s="13">
        <f>_XLL.TEMPERATURE(Fluid,"Pq",_P4,1)</f>
        <v>295.00912122931084</v>
      </c>
    </row>
    <row r="27" spans="1:15" ht="15.75">
      <c r="A27" s="7" t="s">
        <v>68</v>
      </c>
      <c r="B27" s="8">
        <f>_h2-_h1</f>
        <v>1.0749462889149157</v>
      </c>
      <c r="C27" t="s">
        <v>15</v>
      </c>
      <c r="M27">
        <v>5</v>
      </c>
      <c r="N27" s="31">
        <f>_s5</f>
        <v>6.3656745222425775</v>
      </c>
      <c r="O27" s="13">
        <f>_T5</f>
        <v>400</v>
      </c>
    </row>
    <row r="28" spans="13:15" ht="12.75">
      <c r="M28">
        <v>6</v>
      </c>
      <c r="N28" s="31">
        <f>_XLL.ENTROPY(Fluid,"Ph",_P6,_h6)</f>
        <v>6.545800421242152</v>
      </c>
      <c r="O28" s="13">
        <f>_XLL.TEMPERATURE(Fluid,"Ph",_P6,_h6)</f>
        <v>164.95275255074193</v>
      </c>
    </row>
    <row r="29" spans="1:15" ht="12.75">
      <c r="A29" s="3" t="s">
        <v>66</v>
      </c>
      <c r="M29">
        <v>7</v>
      </c>
      <c r="N29" s="31">
        <f>_XLL.ENTROPY(Fluid,"Ph",_P1,_h7)</f>
        <v>6.899313561251776</v>
      </c>
      <c r="O29" s="13">
        <f>_T7</f>
        <v>30</v>
      </c>
    </row>
    <row r="30" spans="1:15" ht="15.75">
      <c r="A30" s="7" t="s">
        <v>79</v>
      </c>
      <c r="B30" s="30">
        <f>_P6</f>
        <v>7</v>
      </c>
      <c r="C30" t="s">
        <v>17</v>
      </c>
      <c r="M30">
        <v>1</v>
      </c>
      <c r="N30" s="31">
        <f>_s1</f>
        <v>0.4367929406142896</v>
      </c>
      <c r="O30" s="13">
        <f>_T1</f>
        <v>30</v>
      </c>
    </row>
    <row r="31" spans="1:15" ht="15.75">
      <c r="A31" s="7" t="s">
        <v>26</v>
      </c>
      <c r="B31" s="8">
        <f>_XLL.ENTHALPY(Fluid,"Pq",_P3,0)</f>
        <v>697.1433607352079</v>
      </c>
      <c r="C31" t="s">
        <v>15</v>
      </c>
      <c r="O31" s="13"/>
    </row>
    <row r="32" spans="1:15" ht="15.75">
      <c r="A32" s="7" t="s">
        <v>28</v>
      </c>
      <c r="B32" s="9">
        <f>_XLL.ENTROPY(Fluid,"Pq",_P3,0)</f>
        <v>1.9920831368489647</v>
      </c>
      <c r="C32" t="s">
        <v>16</v>
      </c>
      <c r="E32" t="s">
        <v>34</v>
      </c>
      <c r="M32">
        <v>6</v>
      </c>
      <c r="N32" s="31">
        <f>_s6</f>
        <v>6.545800421242152</v>
      </c>
      <c r="O32" s="13">
        <f>O28</f>
        <v>164.95275255074193</v>
      </c>
    </row>
    <row r="33" spans="5:15" ht="15.75">
      <c r="E33" s="7" t="s">
        <v>83</v>
      </c>
      <c r="F33" s="12">
        <f>_XLL.SPECVOLUME(Fluid,"Ph",_P3,_h3)</f>
        <v>0.0011079650772835392</v>
      </c>
      <c r="G33" s="4" t="s">
        <v>18</v>
      </c>
      <c r="M33" s="7" t="s">
        <v>82</v>
      </c>
      <c r="N33" s="31">
        <f>MIN(_XLL.ENTROPY(Fluid,"Pq",_P6,1),N32)</f>
        <v>6.545800421242152</v>
      </c>
      <c r="O33" s="13">
        <f>_XLL.TEMPERATURE(Fluid,"Pq",_P6,1)</f>
        <v>164.95275255074193</v>
      </c>
    </row>
    <row r="34" spans="1:15" ht="15.75">
      <c r="A34" s="7" t="s">
        <v>31</v>
      </c>
      <c r="B34" s="8">
        <f>_XLL.ENTHALPY(Fluid,"Ps",_P4,_s3)</f>
        <v>705.2157182536675</v>
      </c>
      <c r="C34" t="s">
        <v>15</v>
      </c>
      <c r="E34" s="7" t="s">
        <v>31</v>
      </c>
      <c r="F34" s="13">
        <f>_h3+_v3*(_P4-_P3)*100</f>
        <v>705.2315057993777</v>
      </c>
      <c r="G34" s="4" t="s">
        <v>15</v>
      </c>
      <c r="M34">
        <v>3</v>
      </c>
      <c r="N34" s="31">
        <f>N23</f>
        <v>1.9920831368489647</v>
      </c>
      <c r="O34" s="13">
        <f>O23</f>
        <v>164.95275255074193</v>
      </c>
    </row>
    <row r="35" spans="1:3" ht="14.25" customHeight="1">
      <c r="A35" s="7" t="s">
        <v>32</v>
      </c>
      <c r="B35" s="8">
        <f>B31+(B34-B31)/eta_p2</f>
        <v>709.5623723020689</v>
      </c>
      <c r="C35" t="s">
        <v>15</v>
      </c>
    </row>
    <row r="36" spans="1:2" ht="14.25" customHeight="1">
      <c r="A36" s="7"/>
      <c r="B36" s="8"/>
    </row>
    <row r="37" spans="1:3" ht="14.25" customHeight="1">
      <c r="A37" s="7" t="s">
        <v>69</v>
      </c>
      <c r="B37" s="8">
        <f>_h4-_h3</f>
        <v>12.419011566860945</v>
      </c>
      <c r="C37" t="s">
        <v>15</v>
      </c>
    </row>
    <row r="38" spans="1:2" ht="12.75">
      <c r="A38" s="7"/>
      <c r="B38" s="8"/>
    </row>
    <row r="39" ht="12.75">
      <c r="A39" s="10" t="s">
        <v>67</v>
      </c>
    </row>
    <row r="40" spans="1:3" ht="15.75">
      <c r="A40" s="7" t="s">
        <v>84</v>
      </c>
      <c r="B40" s="11">
        <f>_P4</f>
        <v>80</v>
      </c>
      <c r="C40" t="s">
        <v>17</v>
      </c>
    </row>
    <row r="41" spans="1:3" ht="15.75">
      <c r="A41" s="7" t="s">
        <v>70</v>
      </c>
      <c r="B41" s="8">
        <f>_XLL.ENTHALPY(Fluid,"PT",_P4,_T5)</f>
        <v>3139.3106473272032</v>
      </c>
      <c r="C41" t="s">
        <v>15</v>
      </c>
    </row>
    <row r="42" spans="1:3" ht="15.75">
      <c r="A42" s="7" t="s">
        <v>27</v>
      </c>
      <c r="B42" s="8">
        <f>_h5-_h4</f>
        <v>2429.7482750251343</v>
      </c>
      <c r="C42" t="s">
        <v>15</v>
      </c>
    </row>
    <row r="43" spans="1:2" ht="12.75">
      <c r="A43" s="7"/>
      <c r="B43" s="8"/>
    </row>
    <row r="44" spans="1:2" ht="12.75">
      <c r="A44" s="10" t="s">
        <v>87</v>
      </c>
      <c r="B44" s="8"/>
    </row>
    <row r="45" spans="1:3" ht="15.75">
      <c r="A45" s="7" t="s">
        <v>71</v>
      </c>
      <c r="B45" s="11">
        <f>_P4</f>
        <v>80</v>
      </c>
      <c r="C45" t="s">
        <v>17</v>
      </c>
    </row>
    <row r="46" spans="1:3" ht="15.75">
      <c r="A46" s="7" t="s">
        <v>72</v>
      </c>
      <c r="B46" s="9">
        <f>_XLL.ENTROPY(Fluid,"PT",_P5,_T5)</f>
        <v>6.3656745222425775</v>
      </c>
      <c r="C46" t="s">
        <v>16</v>
      </c>
    </row>
    <row r="47" spans="1:2" ht="12.75">
      <c r="A47" s="7"/>
      <c r="B47" s="8"/>
    </row>
    <row r="48" spans="1:3" ht="15.75">
      <c r="A48" s="7" t="s">
        <v>73</v>
      </c>
      <c r="B48" s="8">
        <f>_XLL.ENTHALPY(Fluid,"Ps",_P6,_s5)</f>
        <v>2613.2209582602486</v>
      </c>
      <c r="C48" t="s">
        <v>15</v>
      </c>
    </row>
    <row r="49" spans="1:3" ht="15.75">
      <c r="A49" s="7" t="s">
        <v>74</v>
      </c>
      <c r="B49" s="8">
        <f>_h5-(_h5-_h6is)*_eta_t</f>
        <v>2692.1344116202918</v>
      </c>
      <c r="C49" t="s">
        <v>15</v>
      </c>
    </row>
    <row r="50" spans="1:2" ht="15.75">
      <c r="A50" s="7" t="s">
        <v>91</v>
      </c>
      <c r="B50" s="8">
        <f>[1]!VaporQual(Fluid,"Ph",_P6,_h6)</f>
        <v>0.9658140610301592</v>
      </c>
    </row>
    <row r="52" spans="1:3" ht="15.75">
      <c r="A52" s="7" t="s">
        <v>86</v>
      </c>
      <c r="B52" s="8">
        <f>(_h3-_h2)/(_h6-_h2)</f>
        <v>0.2223210043906966</v>
      </c>
      <c r="C52" t="s">
        <v>88</v>
      </c>
    </row>
    <row r="54" spans="1:2" ht="12.75">
      <c r="A54" s="10" t="s">
        <v>89</v>
      </c>
      <c r="B54" s="8"/>
    </row>
    <row r="55" spans="1:4" ht="15.75">
      <c r="A55" s="7" t="s">
        <v>75</v>
      </c>
      <c r="B55" s="9">
        <f>_XLL.ENTROPY(Fluid,"Ph",_P6,_h6)</f>
        <v>6.545800421242152</v>
      </c>
      <c r="C55" t="s">
        <v>16</v>
      </c>
      <c r="D55" t="s">
        <v>85</v>
      </c>
    </row>
    <row r="56" spans="1:3" ht="15.75">
      <c r="A56" s="7" t="s">
        <v>76</v>
      </c>
      <c r="B56" s="8">
        <f>_XLL.ENTHALPY(Fluid,"Ps",_P1,_s6)</f>
        <v>1977.6861440243183</v>
      </c>
      <c r="C56" t="s">
        <v>15</v>
      </c>
    </row>
    <row r="57" spans="1:3" ht="15.75">
      <c r="A57" s="7" t="s">
        <v>77</v>
      </c>
      <c r="B57" s="8">
        <f>_h6-(_h6-_h7is)*_eta_t</f>
        <v>2084.8533841637145</v>
      </c>
      <c r="C57" t="s">
        <v>15</v>
      </c>
    </row>
    <row r="58" spans="1:2" ht="15.75">
      <c r="A58" s="7" t="s">
        <v>78</v>
      </c>
      <c r="B58" s="8">
        <f>[1]!VaporQual(Fluid,"Ph",_P1,_h7)</f>
        <v>0.806270938988352</v>
      </c>
    </row>
    <row r="60" spans="1:3" ht="15.75">
      <c r="A60" s="7" t="s">
        <v>33</v>
      </c>
      <c r="B60" s="8">
        <f>_h5-_h6+(1-x_extrac)*(_h6-_h7)</f>
        <v>919.4459351919284</v>
      </c>
      <c r="C60" t="s">
        <v>15</v>
      </c>
    </row>
    <row r="61" spans="1:2" ht="12.75">
      <c r="A61" s="7"/>
      <c r="B61" s="8"/>
    </row>
    <row r="62" ht="12.75">
      <c r="A62" s="10" t="s">
        <v>19</v>
      </c>
    </row>
    <row r="63" spans="1:2" ht="12.75">
      <c r="A63" s="14" t="s">
        <v>20</v>
      </c>
      <c r="B63" s="15">
        <f>(w_turb-(1-x_extrac)*w_pump1-w_pump2)/_q_boiler</f>
        <v>0.37295672551322057</v>
      </c>
    </row>
  </sheetData>
  <sheetProtection/>
  <printOptions/>
  <pageMargins left="0.75" right="0.75" top="1" bottom="1" header="0.5" footer="0.5"/>
  <pageSetup horizontalDpi="1200" verticalDpi="1200" orientation="portrait" r:id="rId2"/>
  <ignoredErrors>
    <ignoredError sqref="I8:I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8"/>
  <sheetViews>
    <sheetView workbookViewId="0" topLeftCell="A1">
      <selection activeCell="AL45" sqref="AL45"/>
    </sheetView>
  </sheetViews>
  <sheetFormatPr defaultColWidth="9.140625" defaultRowHeight="12.75"/>
  <cols>
    <col min="1" max="1" width="12.7109375" style="16" customWidth="1"/>
    <col min="2" max="2" width="11.00390625" style="16" bestFit="1" customWidth="1"/>
    <col min="3" max="3" width="5.421875" style="16" customWidth="1"/>
    <col min="4" max="4" width="12.00390625" style="16" customWidth="1"/>
    <col min="5" max="5" width="10.00390625" style="16" customWidth="1"/>
    <col min="6" max="6" width="6.8515625" style="16" customWidth="1"/>
    <col min="7" max="14" width="9.140625" style="16" customWidth="1"/>
    <col min="15" max="15" width="5.00390625" style="16" customWidth="1"/>
    <col min="16" max="16" width="11.57421875" style="16" customWidth="1"/>
    <col min="17" max="17" width="9.140625" style="16" customWidth="1"/>
    <col min="18" max="18" width="11.00390625" style="16" customWidth="1"/>
    <col min="19" max="19" width="9.140625" style="16" customWidth="1"/>
    <col min="20" max="20" width="12.00390625" style="16" customWidth="1"/>
    <col min="21" max="21" width="9.140625" style="16" customWidth="1"/>
    <col min="22" max="22" width="11.421875" style="16" customWidth="1"/>
    <col min="23" max="23" width="9.140625" style="16" customWidth="1"/>
    <col min="24" max="24" width="4.57421875" style="16" customWidth="1"/>
    <col min="25" max="26" width="9.7109375" style="16" customWidth="1"/>
    <col min="27" max="16384" width="9.140625" style="16" customWidth="1"/>
  </cols>
  <sheetData>
    <row r="1" ht="12.75">
      <c r="A1" s="16" t="str">
        <f>_XLL.SETFLUID("IF97")</f>
        <v>IF97</v>
      </c>
    </row>
    <row r="2" spans="1:10" ht="12.75">
      <c r="A2" s="17" t="s">
        <v>35</v>
      </c>
      <c r="B2" s="17" t="s">
        <v>36</v>
      </c>
      <c r="C2" s="17" t="s">
        <v>37</v>
      </c>
      <c r="D2" s="18" t="s">
        <v>38</v>
      </c>
      <c r="E2" s="17" t="s">
        <v>39</v>
      </c>
      <c r="F2" s="17" t="s">
        <v>40</v>
      </c>
      <c r="G2" s="17" t="s">
        <v>41</v>
      </c>
      <c r="H2" s="17" t="s">
        <v>42</v>
      </c>
      <c r="I2" s="17" t="s">
        <v>43</v>
      </c>
      <c r="J2" s="17" t="s">
        <v>44</v>
      </c>
    </row>
    <row r="3" spans="1:10" ht="12.75">
      <c r="A3" s="19" t="s">
        <v>45</v>
      </c>
      <c r="B3" s="16" t="s">
        <v>45</v>
      </c>
      <c r="C3" s="16" t="s">
        <v>46</v>
      </c>
      <c r="D3" s="16" t="s">
        <v>45</v>
      </c>
      <c r="E3" s="16">
        <f>_XLL.TCRIT(A1)</f>
        <v>373.946</v>
      </c>
      <c r="F3" s="16">
        <f>_XLL.PCRIT(A1)</f>
        <v>220.64</v>
      </c>
      <c r="G3" s="16">
        <f>_XLL.SPECVOLUME(A1,"PT",F3,E3)</f>
        <v>0.003105590062111801</v>
      </c>
      <c r="H3" s="16">
        <f>_XLL.MMOL(A1)</f>
        <v>0.018015257</v>
      </c>
      <c r="I3" s="16">
        <f>_XLL.TMIN(A1)</f>
        <v>0.01000001</v>
      </c>
      <c r="J3" s="20">
        <v>800</v>
      </c>
    </row>
    <row r="4" spans="32:46" ht="12.75">
      <c r="AF4" s="23" t="s">
        <v>53</v>
      </c>
      <c r="AG4" s="24">
        <f>3*'data T-s chart'!$F$3</f>
        <v>661.92</v>
      </c>
      <c r="AH4" s="23" t="s">
        <v>54</v>
      </c>
      <c r="AI4" s="24">
        <f>_XLL.PRESSURE('data T-s chart'!$A$1,"Tq",'data T-s chart'!$I$3+0.0101,1)</f>
        <v>0.006121060568420839</v>
      </c>
      <c r="AJ4" s="21"/>
      <c r="AK4" s="24"/>
      <c r="AL4" s="23"/>
      <c r="AM4" s="27"/>
      <c r="AN4" s="23"/>
      <c r="AO4" s="24"/>
      <c r="AP4" s="23"/>
      <c r="AQ4" s="21"/>
      <c r="AR4" s="23"/>
      <c r="AS4" s="24"/>
      <c r="AT4" s="23"/>
    </row>
    <row r="5" spans="1:46" ht="12.75">
      <c r="A5" s="21" t="s">
        <v>47</v>
      </c>
      <c r="D5" s="21" t="s">
        <v>48</v>
      </c>
      <c r="Y5" s="21" t="s">
        <v>57</v>
      </c>
      <c r="Z5" s="16">
        <v>0.25</v>
      </c>
      <c r="AA5" s="21" t="s">
        <v>57</v>
      </c>
      <c r="AB5" s="16">
        <v>0.5</v>
      </c>
      <c r="AC5" s="21" t="s">
        <v>57</v>
      </c>
      <c r="AD5" s="16">
        <v>0.75</v>
      </c>
      <c r="AF5" s="23"/>
      <c r="AG5" s="24"/>
      <c r="AH5" s="23"/>
      <c r="AI5" s="21"/>
      <c r="AJ5" s="21"/>
      <c r="AK5" s="24"/>
      <c r="AL5" s="23"/>
      <c r="AM5" s="27"/>
      <c r="AN5" s="23"/>
      <c r="AO5" s="24"/>
      <c r="AP5" s="23"/>
      <c r="AQ5" s="21"/>
      <c r="AR5" s="23"/>
      <c r="AS5" s="24"/>
      <c r="AT5" s="23"/>
    </row>
    <row r="6" spans="1:45" ht="12.75">
      <c r="A6" s="22" t="s">
        <v>50</v>
      </c>
      <c r="B6" s="16">
        <f>('data T-s chart'!$E$3-'data T-s chart'!$I$3)/100</f>
        <v>3.7393599999000005</v>
      </c>
      <c r="D6" s="22" t="s">
        <v>50</v>
      </c>
      <c r="E6" s="16">
        <f>('data T-s chart'!$E$3-'data T-s chart'!$I$3)/100</f>
        <v>3.7393599999000005</v>
      </c>
      <c r="G6" s="23" t="s">
        <v>51</v>
      </c>
      <c r="H6" s="24">
        <v>1</v>
      </c>
      <c r="I6" s="23" t="s">
        <v>51</v>
      </c>
      <c r="J6" s="24">
        <v>50</v>
      </c>
      <c r="K6" s="23" t="s">
        <v>51</v>
      </c>
      <c r="L6" s="24">
        <f>'data T-s chart'!$F$3</f>
        <v>220.64</v>
      </c>
      <c r="M6" s="23" t="s">
        <v>51</v>
      </c>
      <c r="N6" s="24">
        <f>3*'data T-s chart'!$F$3</f>
        <v>661.92</v>
      </c>
      <c r="P6" s="23" t="s">
        <v>52</v>
      </c>
      <c r="Q6" s="24">
        <v>0.5</v>
      </c>
      <c r="R6" s="23" t="s">
        <v>52</v>
      </c>
      <c r="S6" s="24">
        <v>0.01</v>
      </c>
      <c r="T6" s="23" t="s">
        <v>52</v>
      </c>
      <c r="U6" s="24">
        <f>'data T-s chart'!$G$3</f>
        <v>0.003105590062111801</v>
      </c>
      <c r="V6" s="23" t="s">
        <v>52</v>
      </c>
      <c r="W6" s="24">
        <v>0.002</v>
      </c>
      <c r="Y6" s="22" t="s">
        <v>50</v>
      </c>
      <c r="Z6" s="16">
        <f>('data T-s chart'!$E$3-'data T-s chart'!$I$3)/100</f>
        <v>3.7393599999000005</v>
      </c>
      <c r="AA6" s="22" t="s">
        <v>50</v>
      </c>
      <c r="AB6" s="16">
        <f>('data T-s chart'!$E$3-'data T-s chart'!$I$3)/100</f>
        <v>3.7393599999000005</v>
      </c>
      <c r="AC6" s="22" t="s">
        <v>50</v>
      </c>
      <c r="AD6" s="16">
        <f>('data T-s chart'!$E$3-'data T-s chart'!$I$3)/100</f>
        <v>3.7393599999000005</v>
      </c>
      <c r="AF6" s="23" t="s">
        <v>55</v>
      </c>
      <c r="AG6" s="24">
        <v>1000</v>
      </c>
      <c r="AJ6" s="23" t="s">
        <v>55</v>
      </c>
      <c r="AK6" s="24">
        <v>2600</v>
      </c>
      <c r="AN6" s="23" t="s">
        <v>55</v>
      </c>
      <c r="AO6" s="24">
        <v>3000</v>
      </c>
      <c r="AR6" s="23" t="s">
        <v>55</v>
      </c>
      <c r="AS6" s="24">
        <v>3600</v>
      </c>
    </row>
    <row r="7" spans="1:46" s="29" customFormat="1" ht="12.75">
      <c r="A7" s="28" t="s">
        <v>58</v>
      </c>
      <c r="B7" s="28" t="s">
        <v>49</v>
      </c>
      <c r="D7" s="28" t="s">
        <v>58</v>
      </c>
      <c r="E7" s="28" t="s">
        <v>49</v>
      </c>
      <c r="G7" s="28" t="s">
        <v>58</v>
      </c>
      <c r="H7" s="28" t="s">
        <v>49</v>
      </c>
      <c r="I7" s="28" t="s">
        <v>58</v>
      </c>
      <c r="J7" s="28" t="s">
        <v>49</v>
      </c>
      <c r="K7" s="28" t="s">
        <v>58</v>
      </c>
      <c r="L7" s="28" t="s">
        <v>49</v>
      </c>
      <c r="M7" s="28" t="s">
        <v>58</v>
      </c>
      <c r="N7" s="28" t="s">
        <v>49</v>
      </c>
      <c r="P7" s="28" t="s">
        <v>58</v>
      </c>
      <c r="Q7" s="28" t="s">
        <v>49</v>
      </c>
      <c r="R7" s="28" t="s">
        <v>58</v>
      </c>
      <c r="S7" s="28" t="s">
        <v>49</v>
      </c>
      <c r="T7" s="28" t="s">
        <v>58</v>
      </c>
      <c r="U7" s="28" t="s">
        <v>49</v>
      </c>
      <c r="V7" s="28" t="s">
        <v>58</v>
      </c>
      <c r="W7" s="28" t="s">
        <v>49</v>
      </c>
      <c r="Y7" s="28" t="s">
        <v>58</v>
      </c>
      <c r="Z7" s="21" t="s">
        <v>49</v>
      </c>
      <c r="AA7" s="28" t="s">
        <v>58</v>
      </c>
      <c r="AB7" s="21" t="s">
        <v>49</v>
      </c>
      <c r="AC7" s="28" t="s">
        <v>58</v>
      </c>
      <c r="AD7" s="21" t="s">
        <v>49</v>
      </c>
      <c r="AF7" s="28" t="s">
        <v>56</v>
      </c>
      <c r="AG7" s="28" t="s">
        <v>58</v>
      </c>
      <c r="AH7" s="28" t="s">
        <v>49</v>
      </c>
      <c r="AJ7" s="28" t="s">
        <v>56</v>
      </c>
      <c r="AK7" s="28" t="s">
        <v>58</v>
      </c>
      <c r="AL7" s="28" t="s">
        <v>49</v>
      </c>
      <c r="AN7" s="28" t="s">
        <v>56</v>
      </c>
      <c r="AO7" s="28" t="s">
        <v>58</v>
      </c>
      <c r="AP7" s="28" t="s">
        <v>49</v>
      </c>
      <c r="AR7" s="28" t="s">
        <v>56</v>
      </c>
      <c r="AS7" s="28" t="s">
        <v>58</v>
      </c>
      <c r="AT7" s="28" t="s">
        <v>49</v>
      </c>
    </row>
    <row r="8" spans="1:46" ht="12.75">
      <c r="A8" s="16">
        <f>_XLL.ENTROPY('data T-s chart'!$A$1,"Tq",B8,0)</f>
        <v>0.0007722739713914102</v>
      </c>
      <c r="B8" s="16">
        <f>'data T-s chart'!$I$3+0.05</f>
        <v>0.060000010000000006</v>
      </c>
      <c r="D8" s="16">
        <f>_XLL.ENTROPY('data T-s chart'!$A$1,"Tq",E8,1)</f>
        <v>9.154152241504368</v>
      </c>
      <c r="E8" s="16">
        <f>'data T-s chart'!$I$3+0.05</f>
        <v>0.060000010000000006</v>
      </c>
      <c r="G8" s="16">
        <f>_XLL.ENTROPY('data T-s chart'!$A$1,"PT",H$6,H8)</f>
        <v>6.668400351603103E-06</v>
      </c>
      <c r="H8" s="16">
        <f>'data T-s chart'!$I$3</f>
        <v>0.01000001</v>
      </c>
      <c r="I8" s="16">
        <f>_XLL.ENTROPY('data T-s chart'!$A$1,"PT",J$6,J8)</f>
        <v>0.0002918939779817363</v>
      </c>
      <c r="J8" s="16">
        <f>'data T-s chart'!$I$3</f>
        <v>0.01000001</v>
      </c>
      <c r="K8" s="16">
        <f>_XLL.ENTROPY('data T-s chart'!$A$1,"PT",L$6,L8)</f>
        <v>0.0006097836017471883</v>
      </c>
      <c r="L8" s="16">
        <f>'data T-s chart'!$I$3</f>
        <v>0.01000001</v>
      </c>
      <c r="M8" s="16">
        <f>_XLL.ENTROPY('data T-s chart'!$A$1,"PT",N$6,N8)</f>
        <v>-0.002709384693398821</v>
      </c>
      <c r="N8" s="16">
        <f>'data T-s chart'!$I$3</f>
        <v>0.01000001</v>
      </c>
      <c r="P8" s="16">
        <f>_XLL.ENTROPY('data T-s chart'!$A$1,"Tv",Q8,Q$6)</f>
        <v>0.02217793328408877</v>
      </c>
      <c r="Q8" s="16">
        <f>'data T-s chart'!$I$3</f>
        <v>0.01000001</v>
      </c>
      <c r="R8" s="16">
        <f>_XLL.ENTROPY('data T-s chart'!$A$1,"Tv",S8,S$6)</f>
        <v>0.0003999334538499642</v>
      </c>
      <c r="S8" s="16">
        <f>'data T-s chart'!$I$3</f>
        <v>0.01000001</v>
      </c>
      <c r="T8" s="16">
        <f>_XLL.ENTROPY('data T-s chart'!$A$1,"Tv",U8,U$6)</f>
        <v>9.351211006031951E-05</v>
      </c>
      <c r="U8" s="16">
        <f>'data T-s chart'!$I$3</f>
        <v>0.01000001</v>
      </c>
      <c r="V8" s="16">
        <f>_XLL.ENTROPY('data T-s chart'!$A$1,"Tv",W8,W$6)</f>
        <v>4.437427294810623E-05</v>
      </c>
      <c r="W8" s="16">
        <f>'data T-s chart'!$I$3</f>
        <v>0.01000001</v>
      </c>
      <c r="Y8" s="16">
        <f>_XLL.ENTROPY('data T-s chart'!$A$1,"Tq",Z8,Z$5)</f>
        <v>2.2888728222752595</v>
      </c>
      <c r="Z8" s="16">
        <f>'data T-s chart'!$I$3</f>
        <v>0.01000001</v>
      </c>
      <c r="AA8" s="16">
        <f>_XLL.ENTROPY('data T-s chart'!$A$1,"Tq",AB8,AB$5)</f>
        <v>4.577745706006328</v>
      </c>
      <c r="AB8" s="16">
        <f>'data T-s chart'!$I$3</f>
        <v>0.01000001</v>
      </c>
      <c r="AC8" s="16">
        <f>_XLL.ENTROPY('data T-s chart'!$A$1,"Tq",AD8,AD$5)</f>
        <v>6.8666185897373975</v>
      </c>
      <c r="AD8" s="16">
        <f>'data T-s chart'!$I$3</f>
        <v>0.01000001</v>
      </c>
      <c r="AF8" s="16">
        <f>AG4</f>
        <v>661.92</v>
      </c>
      <c r="AG8" s="16">
        <f>_XLL.ENTROPY('data T-s chart'!$A$1,"Ph",AF8,AG$6)</f>
        <v>2.4818485123920895</v>
      </c>
      <c r="AH8" s="16">
        <f>_XLL.TEMPERATURE('data T-s chart'!$A$1,"Ph",AF8,AG$6)</f>
        <v>227.1897276673982</v>
      </c>
      <c r="AJ8" s="16">
        <f>AG4</f>
        <v>661.92</v>
      </c>
      <c r="AK8" s="16">
        <f>_XLL.ENTROPY('data T-s chart'!$A$1,"Ph",AJ8,AK$6)</f>
        <v>4.950554118383532</v>
      </c>
      <c r="AL8" s="16">
        <f>_XLL.TEMPERATURE('data T-s chart'!$A$1,"Ph",AJ8,AK$6)</f>
        <v>513.9922630412699</v>
      </c>
      <c r="AN8" s="16">
        <f>AG4</f>
        <v>661.92</v>
      </c>
      <c r="AO8" s="16">
        <f>_XLL.ENTROPY('data T-s chart'!$A$1,"Ph",AN8,AO$6)</f>
        <v>5.439421854486604</v>
      </c>
      <c r="AP8" s="16">
        <f>_XLL.TEMPERATURE('data T-s chart'!$A$1,"Ph",AN8,AO$6)</f>
        <v>579.8707422807048</v>
      </c>
      <c r="AR8" s="16">
        <f>AG4</f>
        <v>661.92</v>
      </c>
      <c r="AS8" s="16">
        <f>_XLL.ENTROPY('data T-s chart'!$A$1,"Ph",AR8,AS$6)</f>
        <v>6.0927309037591</v>
      </c>
      <c r="AT8" s="16">
        <f>_XLL.TEMPERATURE('data T-s chart'!$A$1,"Ph",AR8,AS$6)</f>
        <v>724.2774946875965</v>
      </c>
    </row>
    <row r="9" spans="1:46" ht="12.75">
      <c r="A9" s="16">
        <f>_XLL.ENTROPY('data T-s chart'!$A$1,"Tq",B9,0)</f>
        <v>0.05805348336103092</v>
      </c>
      <c r="B9" s="16">
        <f aca="true" t="shared" si="0" ref="B9:B40">B8+$B$6</f>
        <v>3.7993600099000004</v>
      </c>
      <c r="D9" s="16">
        <f>_XLL.ENTROPY('data T-s chart'!$A$1,"Tq",E9,1)</f>
        <v>9.055740802301074</v>
      </c>
      <c r="E9" s="16">
        <f aca="true" t="shared" si="1" ref="E9:E40">E8+$B$6</f>
        <v>3.7993600099000004</v>
      </c>
      <c r="G9" s="16">
        <f>_XLL.ENTROPY('data T-s chart'!$A$1,"PT",H$6,H9)</f>
        <v>0.15062580472073323</v>
      </c>
      <c r="H9" s="16">
        <f aca="true" t="shared" si="2" ref="H9:H17">H8+(H$18-H$8)/10</f>
        <v>9.969591870133765</v>
      </c>
      <c r="I9" s="16">
        <f>_XLL.ENTROPY('data T-s chart'!$A$1,"PT",J$6,J9)</f>
        <v>0.3855267588786486</v>
      </c>
      <c r="J9" s="16">
        <f aca="true" t="shared" si="3" ref="J9:J17">J8+(J$18-J$8)/10</f>
        <v>26.403287127633018</v>
      </c>
      <c r="K9" s="16">
        <f>_XLL.ENTROPY('data T-s chart'!$A$1,"PT",L$6,L9)</f>
        <v>0.11188526138440481</v>
      </c>
      <c r="L9" s="16">
        <f aca="true" t="shared" si="4" ref="L9:L40">L8+(L$58-L$8)/50</f>
        <v>7.488720009800001</v>
      </c>
      <c r="M9" s="16">
        <f>_XLL.ENTROPY('data T-s chart'!$A$1,"PT",N$6,N9)</f>
        <v>0.11245919083170254</v>
      </c>
      <c r="N9" s="16">
        <f aca="true" t="shared" si="5" ref="N9:N40">N8+(N$108-N$8)/100</f>
        <v>8.0099000099</v>
      </c>
      <c r="P9" s="16">
        <f>_XLL.ENTROPY('data T-s chart'!$A$1,"Tv",Q9,Q$6)</f>
        <v>0.15795698054274065</v>
      </c>
      <c r="Q9" s="16">
        <f aca="true" t="shared" si="6" ref="Q9:Q40">Q8+(Q$108-Q$8)/100</f>
        <v>8.0099000099</v>
      </c>
      <c r="R9" s="16">
        <f>_XLL.ENTROPY('data T-s chart'!$A$1,"Tv",S9,S$6)</f>
        <v>0.12213732394020355</v>
      </c>
      <c r="S9" s="16">
        <f aca="true" t="shared" si="7" ref="S9:S40">S8+(S$108-S$8)/100</f>
        <v>8.0099000099</v>
      </c>
      <c r="T9" s="16">
        <f>_XLL.ENTROPY('data T-s chart'!$A$1,"Tv",U9,U$6)</f>
        <v>0.1216333333351989</v>
      </c>
      <c r="U9" s="16">
        <f aca="true" t="shared" si="8" ref="U9:U40">U8+(U$108-U$8)/100</f>
        <v>8.0099000099</v>
      </c>
      <c r="V9" s="16">
        <f>_XLL.ENTROPY('data T-s chart'!$A$1,"Tv",W9,W$6)</f>
        <v>0.12155251322016213</v>
      </c>
      <c r="W9" s="16">
        <f aca="true" t="shared" si="9" ref="W9:W40">W8+(W$108-W$8)/100</f>
        <v>8.0099000099</v>
      </c>
      <c r="Y9" s="16">
        <f>_XLL.ENTROPY('data T-s chart'!$A$1,"Tq",Z9,Z$5)</f>
        <v>2.307228805156444</v>
      </c>
      <c r="Z9" s="16">
        <f aca="true" t="shared" si="10" ref="Z9:Z40">Z8+Z$6</f>
        <v>3.7493600099000006</v>
      </c>
      <c r="AA9" s="16">
        <f>_XLL.ENTROPY('data T-s chart'!$A$1,"Tq",AB9,AB$5)</f>
        <v>4.557163972085107</v>
      </c>
      <c r="AB9" s="16">
        <f aca="true" t="shared" si="11" ref="AB9:AB40">AB8+AB$6</f>
        <v>3.7493600099000006</v>
      </c>
      <c r="AC9" s="16">
        <f>_XLL.ENTROPY('data T-s chart'!$A$1,"Tq",AD9,AD$5)</f>
        <v>6.807099139013769</v>
      </c>
      <c r="AD9" s="16">
        <f aca="true" t="shared" si="12" ref="AD9:AD40">AD8+AD$6</f>
        <v>3.7493600099000006</v>
      </c>
      <c r="AF9" s="16">
        <f>AF8-(AF$8-AF$13)/5</f>
        <v>535.3462519999999</v>
      </c>
      <c r="AG9" s="16">
        <f>_XLL.ENTROPY('data T-s chart'!$A$1,"Ph",AF9,AG$6)</f>
        <v>2.5107438477472557</v>
      </c>
      <c r="AH9" s="16">
        <f>_XLL.TEMPERATURE('data T-s chart'!$A$1,"Ph",AF9,AG$6)</f>
        <v>228.4956262229881</v>
      </c>
      <c r="AJ9" s="16">
        <f>AJ8-(AJ$8-AJ$13)/5</f>
        <v>549.536</v>
      </c>
      <c r="AK9" s="16">
        <f>_XLL.ENTROPY('data T-s chart'!$A$1,"Ph",AJ9,AK$6)</f>
        <v>4.994194471765853</v>
      </c>
      <c r="AL9" s="16">
        <f>_XLL.TEMPERATURE('data T-s chart'!$A$1,"Ph",AJ9,AK$6)</f>
        <v>494.64080049591973</v>
      </c>
      <c r="AN9" s="16">
        <f aca="true" t="shared" si="13" ref="AN9:AN27">AN8-(AN$8-AN$28)/20</f>
        <v>634.3399999999999</v>
      </c>
      <c r="AO9" s="16">
        <f>_XLL.ENTROPY('data T-s chart'!$A$1,"Ph",AN9,AO$6)</f>
        <v>5.452499341026543</v>
      </c>
      <c r="AP9" s="16">
        <f>_XLL.TEMPERATURE('data T-s chart'!$A$1,"Ph",AN9,AO$6)</f>
        <v>574.6796838087822</v>
      </c>
      <c r="AR9" s="16">
        <f aca="true" t="shared" si="14" ref="AR9:AR27">AR8-(AR$8-AR$28)/20</f>
        <v>634.3399999999999</v>
      </c>
      <c r="AS9" s="16">
        <f>_XLL.ENTROPY('data T-s chart'!$A$1,"Ph",AR9,AS$6)</f>
        <v>6.109361019067777</v>
      </c>
      <c r="AT9" s="16">
        <f>_XLL.TEMPERATURE('data T-s chart'!$A$1,"Ph",AR9,AS$6)</f>
        <v>719.798925827128</v>
      </c>
    </row>
    <row r="10" spans="1:46" ht="12.75">
      <c r="A10" s="16">
        <f>_XLL.ENTROPY('data T-s chart'!$A$1,"Tq",B10,0)</f>
        <v>0.11443564990967685</v>
      </c>
      <c r="B10" s="16">
        <f t="shared" si="0"/>
        <v>7.5387200098000005</v>
      </c>
      <c r="D10" s="16">
        <f>_XLL.ENTROPY('data T-s chart'!$A$1,"Tq",E10,1)</f>
        <v>8.960670772022853</v>
      </c>
      <c r="E10" s="16">
        <f t="shared" si="1"/>
        <v>7.5387200098000005</v>
      </c>
      <c r="G10" s="16">
        <f>_XLL.ENTROPY('data T-s chart'!$A$1,"PT",H$6,H10)</f>
        <v>0.2954718706000359</v>
      </c>
      <c r="H10" s="16">
        <f t="shared" si="2"/>
        <v>19.929183730267532</v>
      </c>
      <c r="I10" s="16">
        <f>_XLL.ENTROPY('data T-s chart'!$A$1,"PT",J$6,J10)</f>
        <v>0.7374106784491585</v>
      </c>
      <c r="J10" s="16">
        <f t="shared" si="3"/>
        <v>52.79657424526604</v>
      </c>
      <c r="K10" s="16">
        <f>_XLL.ENTROPY('data T-s chart'!$A$1,"PT",L$6,L10)</f>
        <v>0.22024059293739992</v>
      </c>
      <c r="L10" s="16">
        <f t="shared" si="4"/>
        <v>14.9674400096</v>
      </c>
      <c r="M10" s="16">
        <f>_XLL.ENTROPY('data T-s chart'!$A$1,"PT",N$6,N10)</f>
        <v>0.22495718459263883</v>
      </c>
      <c r="N10" s="16">
        <f t="shared" si="5"/>
        <v>16.009800009800003</v>
      </c>
      <c r="P10" s="16">
        <f>_XLL.ENTROPY('data T-s chart'!$A$1,"Tv",Q10,Q$6)</f>
        <v>0.297152667530403</v>
      </c>
      <c r="Q10" s="16">
        <f t="shared" si="6"/>
        <v>16.009800009800003</v>
      </c>
      <c r="R10" s="16">
        <f>_XLL.ENTROPY('data T-s chart'!$A$1,"Tv",S10,S$6)</f>
        <v>0.2401714732679421</v>
      </c>
      <c r="S10" s="16">
        <f t="shared" si="7"/>
        <v>16.009800009800003</v>
      </c>
      <c r="T10" s="16">
        <f>_XLL.ENTROPY('data T-s chart'!$A$1,"Tv",U10,U$6)</f>
        <v>0.23936973508019546</v>
      </c>
      <c r="U10" s="16">
        <f t="shared" si="8"/>
        <v>16.009800009800003</v>
      </c>
      <c r="V10" s="16">
        <f>_XLL.ENTROPY('data T-s chart'!$A$1,"Tv",W10,W$6)</f>
        <v>0.23924116805549375</v>
      </c>
      <c r="W10" s="16">
        <f t="shared" si="9"/>
        <v>16.009800009800003</v>
      </c>
      <c r="Y10" s="16">
        <f>_XLL.ENTROPY('data T-s chart'!$A$1,"Tq",Z10,Z$5)</f>
        <v>2.3257457057402515</v>
      </c>
      <c r="Z10" s="16">
        <f t="shared" si="10"/>
        <v>7.4887200098000015</v>
      </c>
      <c r="AA10" s="16">
        <f>_XLL.ENTROPY('data T-s chart'!$A$1,"Tq",AB10,AB$5)</f>
        <v>4.537804003449777</v>
      </c>
      <c r="AB10" s="16">
        <f t="shared" si="11"/>
        <v>7.4887200098000015</v>
      </c>
      <c r="AC10" s="16">
        <f>_XLL.ENTROPY('data T-s chart'!$A$1,"Tq",AD10,AD$5)</f>
        <v>6.749862301159303</v>
      </c>
      <c r="AD10" s="16">
        <f t="shared" si="12"/>
        <v>7.4887200098000015</v>
      </c>
      <c r="AF10" s="16">
        <f>AF9-(AF$8-AF$13)/5</f>
        <v>408.7725039999999</v>
      </c>
      <c r="AG10" s="16">
        <f>_XLL.ENTROPY('data T-s chart'!$A$1,"Ph",AF10,AG$6)</f>
        <v>2.5398980846904196</v>
      </c>
      <c r="AH10" s="16">
        <f>_XLL.TEMPERATURE('data T-s chart'!$A$1,"Ph",AF10,AG$6)</f>
        <v>229.66662604585906</v>
      </c>
      <c r="AJ10" s="16">
        <f>AJ9-(AJ$8-AJ$13)/5</f>
        <v>437.15199999999993</v>
      </c>
      <c r="AK10" s="16">
        <f>_XLL.ENTROPY('data T-s chart'!$A$1,"Ph",AJ10,AK$6)</f>
        <v>5.046123332688904</v>
      </c>
      <c r="AL10" s="16">
        <f>_XLL.TEMPERATURE('data T-s chart'!$A$1,"Ph",AJ10,AK$6)</f>
        <v>468.9843231172737</v>
      </c>
      <c r="AN10" s="16">
        <f t="shared" si="13"/>
        <v>606.7599999999999</v>
      </c>
      <c r="AO10" s="16">
        <f>_XLL.ENTROPY('data T-s chart'!$A$1,"Ph",AN10,AO$6)</f>
        <v>5.466143737140844</v>
      </c>
      <c r="AP10" s="16">
        <f>_XLL.TEMPERATURE('data T-s chart'!$A$1,"Ph",AN10,AO$6)</f>
        <v>569.2136078185512</v>
      </c>
      <c r="AR10" s="16">
        <f t="shared" si="14"/>
        <v>606.7599999999999</v>
      </c>
      <c r="AS10" s="16">
        <f>_XLL.ENTROPY('data T-s chart'!$A$1,"Ph",AR10,AS$6)</f>
        <v>6.1267495909736915</v>
      </c>
      <c r="AT10" s="16">
        <f>_XLL.TEMPERATURE('data T-s chart'!$A$1,"Ph",AR10,AS$6)</f>
        <v>715.1585720595924</v>
      </c>
    </row>
    <row r="11" spans="1:46" ht="12.75">
      <c r="A11" s="16">
        <f>_XLL.ENTROPY('data T-s chart'!$A$1,"Tq",B11,0)</f>
        <v>0.16997723677880944</v>
      </c>
      <c r="B11" s="16">
        <f t="shared" si="0"/>
        <v>11.278080009700002</v>
      </c>
      <c r="D11" s="16">
        <f>_XLL.ENTROPY('data T-s chart'!$A$1,"Tq",E11,1)</f>
        <v>8.868793153501311</v>
      </c>
      <c r="E11" s="16">
        <f t="shared" si="1"/>
        <v>11.278080009700002</v>
      </c>
      <c r="G11" s="16">
        <f>_XLL.ENTROPY('data T-s chart'!$A$1,"PT",H$6,H11)</f>
        <v>0.43522989573225934</v>
      </c>
      <c r="H11" s="16">
        <f t="shared" si="2"/>
        <v>29.888775590401295</v>
      </c>
      <c r="I11" s="16">
        <f>_XLL.ENTROPY('data T-s chart'!$A$1,"PT",J$6,J11)</f>
        <v>1.062528318946807</v>
      </c>
      <c r="J11" s="16">
        <f t="shared" si="3"/>
        <v>79.18986136289905</v>
      </c>
      <c r="K11" s="16">
        <f>_XLL.ENTROPY('data T-s chart'!$A$1,"PT",L$6,L11)</f>
        <v>0.32586163815837393</v>
      </c>
      <c r="L11" s="16">
        <f t="shared" si="4"/>
        <v>22.446160009400003</v>
      </c>
      <c r="M11" s="16">
        <f>_XLL.ENTROPY('data T-s chart'!$A$1,"PT",N$6,N11)</f>
        <v>0.3347721954620978</v>
      </c>
      <c r="N11" s="16">
        <f t="shared" si="5"/>
        <v>24.009700009700005</v>
      </c>
      <c r="P11" s="16">
        <f>_XLL.ENTROPY('data T-s chart'!$A$1,"Tv",Q11,Q$6)</f>
        <v>0.44287987394826056</v>
      </c>
      <c r="Q11" s="16">
        <f t="shared" si="6"/>
        <v>24.009700009700005</v>
      </c>
      <c r="R11" s="16">
        <f>_XLL.ENTROPY('data T-s chart'!$A$1,"Tv",S11,S$6)</f>
        <v>0.3549558272338481</v>
      </c>
      <c r="S11" s="16">
        <f t="shared" si="7"/>
        <v>24.009700009700005</v>
      </c>
      <c r="T11" s="16">
        <f>_XLL.ENTROPY('data T-s chart'!$A$1,"Tv",U11,U$6)</f>
        <v>0.35371871616967016</v>
      </c>
      <c r="U11" s="16">
        <f t="shared" si="8"/>
        <v>24.009700009700005</v>
      </c>
      <c r="V11" s="16">
        <f>_XLL.ENTROPY('data T-s chart'!$A$1,"Tv",W11,W$6)</f>
        <v>0.3535203325936128</v>
      </c>
      <c r="W11" s="16">
        <f t="shared" si="9"/>
        <v>24.009700009700005</v>
      </c>
      <c r="Y11" s="16">
        <f>_XLL.ENTROPY('data T-s chart'!$A$1,"Tq",Z11,Z$5)</f>
        <v>2.3444302401342956</v>
      </c>
      <c r="Z11" s="16">
        <f t="shared" si="10"/>
        <v>11.228080009700001</v>
      </c>
      <c r="AA11" s="16">
        <f>_XLL.ENTROPY('data T-s chart'!$A$1,"Tq",AB11,AB$5)</f>
        <v>4.519620573227737</v>
      </c>
      <c r="AB11" s="16">
        <f t="shared" si="11"/>
        <v>11.228080009700001</v>
      </c>
      <c r="AC11" s="16">
        <f>_XLL.ENTROPY('data T-s chart'!$A$1,"Tq",AD11,AD$5)</f>
        <v>6.6948109063211785</v>
      </c>
      <c r="AD11" s="16">
        <f t="shared" si="12"/>
        <v>11.228080009700001</v>
      </c>
      <c r="AF11" s="16">
        <f>AF10-(AF$8-AF$13)/5</f>
        <v>282.1987559999999</v>
      </c>
      <c r="AG11" s="16">
        <f>_XLL.ENTROPY('data T-s chart'!$A$1,"Ph",AF11,AG$6)</f>
        <v>2.5693466116038493</v>
      </c>
      <c r="AH11" s="16">
        <f>_XLL.TEMPERATURE('data T-s chart'!$A$1,"Ph",AF11,AG$6)</f>
        <v>230.6783050524341</v>
      </c>
      <c r="AJ11" s="16">
        <f>AJ10-(AJ$8-AJ$13)/5</f>
        <v>324.7679999999999</v>
      </c>
      <c r="AK11" s="16">
        <f>_XLL.ENTROPY('data T-s chart'!$A$1,"Ph",AJ11,AK$6)</f>
        <v>5.112530644791308</v>
      </c>
      <c r="AL11" s="16">
        <f>_XLL.TEMPERATURE('data T-s chart'!$A$1,"Ph",AJ11,AK$6)</f>
        <v>433.59640649830703</v>
      </c>
      <c r="AN11" s="16">
        <f t="shared" si="13"/>
        <v>579.1799999999998</v>
      </c>
      <c r="AO11" s="16">
        <f>_XLL.ENTROPY('data T-s chart'!$A$1,"Ph",AN11,AO$6)</f>
        <v>5.480410731052344</v>
      </c>
      <c r="AP11" s="16">
        <f>_XLL.TEMPERATURE('data T-s chart'!$A$1,"Ph",AN11,AO$6)</f>
        <v>563.452181352669</v>
      </c>
      <c r="AR11" s="16">
        <f t="shared" si="14"/>
        <v>579.1799999999998</v>
      </c>
      <c r="AS11" s="16">
        <f>_XLL.ENTROPY('data T-s chart'!$A$1,"Ph",AR11,AS$6)</f>
        <v>6.144973494560577</v>
      </c>
      <c r="AT11" s="16">
        <f>_XLL.TEMPERATURE('data T-s chart'!$A$1,"Ph",AR11,AS$6)</f>
        <v>710.348852532611</v>
      </c>
    </row>
    <row r="12" spans="1:46" ht="12.75">
      <c r="A12" s="16">
        <f>_XLL.ENTROPY('data T-s chart'!$A$1,"Tq",B12,0)</f>
        <v>0.22472448678006432</v>
      </c>
      <c r="B12" s="16">
        <f t="shared" si="0"/>
        <v>15.017440009600001</v>
      </c>
      <c r="D12" s="16">
        <f>_XLL.ENTROPY('data T-s chart'!$A$1,"Tq",E12,1)</f>
        <v>8.779967306158483</v>
      </c>
      <c r="E12" s="16">
        <f t="shared" si="1"/>
        <v>15.017440009600001</v>
      </c>
      <c r="G12" s="16">
        <f>_XLL.ENTROPY('data T-s chart'!$A$1,"PT",H$6,H12)</f>
        <v>0.5703698531868581</v>
      </c>
      <c r="H12" s="16">
        <f t="shared" si="2"/>
        <v>39.84836745053506</v>
      </c>
      <c r="I12" s="16">
        <f>_XLL.ENTROPY('data T-s chart'!$A$1,"PT",J$6,J12)</f>
        <v>1.365711749906318</v>
      </c>
      <c r="J12" s="16">
        <f t="shared" si="3"/>
        <v>105.58314848053207</v>
      </c>
      <c r="K12" s="16">
        <f>_XLL.ENTROPY('data T-s chart'!$A$1,"PT",L$6,L12)</f>
        <v>0.4288953020582637</v>
      </c>
      <c r="L12" s="16">
        <f t="shared" si="4"/>
        <v>29.924880009200002</v>
      </c>
      <c r="M12" s="16">
        <f>_XLL.ENTROPY('data T-s chart'!$A$1,"PT",N$6,N12)</f>
        <v>0.44194428827575866</v>
      </c>
      <c r="N12" s="16">
        <f t="shared" si="5"/>
        <v>32.00960000960001</v>
      </c>
      <c r="P12" s="16">
        <f>_XLL.ENTROPY('data T-s chart'!$A$1,"Tv",Q12,Q$6)</f>
        <v>0.5987722900272742</v>
      </c>
      <c r="Q12" s="16">
        <f t="shared" si="6"/>
        <v>32.00960000960001</v>
      </c>
      <c r="R12" s="16">
        <f>_XLL.ENTROPY('data T-s chart'!$A$1,"Tv",S12,S$6)</f>
        <v>0.46683290500704033</v>
      </c>
      <c r="S12" s="16">
        <f t="shared" si="7"/>
        <v>32.00960000960001</v>
      </c>
      <c r="T12" s="16">
        <f>_XLL.ENTROPY('data T-s chart'!$A$1,"Tv",U12,U$6)</f>
        <v>0.4649764882574845</v>
      </c>
      <c r="U12" s="16">
        <f t="shared" si="8"/>
        <v>32.00960000960001</v>
      </c>
      <c r="V12" s="16">
        <f>_XLL.ENTROPY('data T-s chart'!$A$1,"Tv",W12,W$6)</f>
        <v>0.4646787925985467</v>
      </c>
      <c r="W12" s="16">
        <f t="shared" si="9"/>
        <v>32.00960000960001</v>
      </c>
      <c r="Y12" s="16">
        <f>_XLL.ENTROPY('data T-s chart'!$A$1,"Tq",Z12,Z$5)</f>
        <v>2.36328200496803</v>
      </c>
      <c r="Z12" s="16">
        <f t="shared" si="10"/>
        <v>14.9674400096</v>
      </c>
      <c r="AA12" s="16">
        <f>_XLL.ENTROPY('data T-s chart'!$A$1,"Tq",AB12,AB$5)</f>
        <v>4.50256649634855</v>
      </c>
      <c r="AB12" s="16">
        <f t="shared" si="11"/>
        <v>14.9674400096</v>
      </c>
      <c r="AC12" s="16">
        <f>_XLL.ENTROPY('data T-s chart'!$A$1,"Tq",AD12,AD$5)</f>
        <v>6.64185098772907</v>
      </c>
      <c r="AD12" s="16">
        <f t="shared" si="12"/>
        <v>14.9674400096</v>
      </c>
      <c r="AF12" s="16">
        <f>AF11-(AF$8-AF$13)/5</f>
        <v>155.6250079999999</v>
      </c>
      <c r="AG12" s="16">
        <f>_XLL.ENTROPY('data T-s chart'!$A$1,"Ph",AF12,AG$6)</f>
        <v>2.5991322039762035</v>
      </c>
      <c r="AH12" s="16">
        <f>_XLL.TEMPERATURE('data T-s chart'!$A$1,"Ph",AF12,AG$6)</f>
        <v>231.49842487437013</v>
      </c>
      <c r="AJ12" s="16">
        <f>AJ11-(AJ$8-AJ$13)/5</f>
        <v>212.38399999999993</v>
      </c>
      <c r="AK12" s="16">
        <f>_XLL.ENTROPY('data T-s chart'!$A$1,"Ph",AJ12,AK$6)</f>
        <v>5.209328816596766</v>
      </c>
      <c r="AL12" s="16">
        <f>_XLL.TEMPERATURE('data T-s chart'!$A$1,"Ph",AJ12,AK$6)</f>
        <v>381.99244343063924</v>
      </c>
      <c r="AN12" s="16">
        <f t="shared" si="13"/>
        <v>551.5999999999998</v>
      </c>
      <c r="AO12" s="16">
        <f>_XLL.ENTROPY('data T-s chart'!$A$1,"Ph",AN12,AO$6)</f>
        <v>5.495364744095743</v>
      </c>
      <c r="AP12" s="16">
        <f>_XLL.TEMPERATURE('data T-s chart'!$A$1,"Ph",AN12,AO$6)</f>
        <v>557.3728557007431</v>
      </c>
      <c r="AR12" s="16">
        <f t="shared" si="14"/>
        <v>551.5999999999998</v>
      </c>
      <c r="AS12" s="16">
        <f>_XLL.ENTROPY('data T-s chart'!$A$1,"Ph",AR12,AS$6)</f>
        <v>6.164121609302143</v>
      </c>
      <c r="AT12" s="16">
        <f>_XLL.TEMPERATURE('data T-s chart'!$A$1,"Ph",AR12,AS$6)</f>
        <v>705.3618176198228</v>
      </c>
    </row>
    <row r="13" spans="1:46" ht="12.75">
      <c r="A13" s="16">
        <f>_XLL.ENTROPY('data T-s chart'!$A$1,"Tq",B13,0)</f>
        <v>0.2787151677626052</v>
      </c>
      <c r="B13" s="16">
        <f t="shared" si="0"/>
        <v>18.7568000095</v>
      </c>
      <c r="D13" s="16">
        <f>_XLL.ENTROPY('data T-s chart'!$A$1,"Tq",E13,1)</f>
        <v>8.694060362820789</v>
      </c>
      <c r="E13" s="16">
        <f t="shared" si="1"/>
        <v>18.7568000095</v>
      </c>
      <c r="G13" s="16">
        <f>_XLL.ENTROPY('data T-s chart'!$A$1,"PT",H$6,H13)</f>
        <v>0.7012687852698729</v>
      </c>
      <c r="H13" s="16">
        <f t="shared" si="2"/>
        <v>49.80795931066882</v>
      </c>
      <c r="I13" s="16">
        <f>_XLL.ENTROPY('data T-s chart'!$A$1,"PT",J$6,J13)</f>
        <v>1.650858156639922</v>
      </c>
      <c r="J13" s="16">
        <f t="shared" si="3"/>
        <v>131.9764355981651</v>
      </c>
      <c r="K13" s="16">
        <f>_XLL.ENTROPY('data T-s chart'!$A$1,"PT",L$6,L13)</f>
        <v>0.5294722539742178</v>
      </c>
      <c r="L13" s="16">
        <f t="shared" si="4"/>
        <v>37.403600009</v>
      </c>
      <c r="M13" s="16">
        <f>_XLL.ENTROPY('data T-s chart'!$A$1,"PT",N$6,N13)</f>
        <v>0.5465474705609137</v>
      </c>
      <c r="N13" s="16">
        <f t="shared" si="5"/>
        <v>40.00950000950001</v>
      </c>
      <c r="P13" s="16">
        <f>_XLL.ENTROPY('data T-s chart'!$A$1,"Tv",Q13,Q$6)</f>
        <v>0.7690897661060999</v>
      </c>
      <c r="Q13" s="16">
        <f t="shared" si="6"/>
        <v>40.00950000950001</v>
      </c>
      <c r="R13" s="16">
        <f>_XLL.ENTROPY('data T-s chart'!$A$1,"Tv",S13,S$6)</f>
        <v>0.5760980126445788</v>
      </c>
      <c r="S13" s="16">
        <f t="shared" si="7"/>
        <v>40.00950000950001</v>
      </c>
      <c r="T13" s="16">
        <f>_XLL.ENTROPY('data T-s chart'!$A$1,"Tv",U13,U$6)</f>
        <v>0.5733825753731593</v>
      </c>
      <c r="U13" s="16">
        <f t="shared" si="8"/>
        <v>40.00950000950001</v>
      </c>
      <c r="V13" s="16">
        <f>_XLL.ENTROPY('data T-s chart'!$A$1,"Tv",W13,W$6)</f>
        <v>0.5729471268737785</v>
      </c>
      <c r="W13" s="16">
        <f t="shared" si="9"/>
        <v>40.00950000950001</v>
      </c>
      <c r="Y13" s="16">
        <f>_XLL.ENTROPY('data T-s chart'!$A$1,"Tq",Z13,Z$5)</f>
        <v>2.3822961550312867</v>
      </c>
      <c r="Z13" s="16">
        <f t="shared" si="10"/>
        <v>18.7068000095</v>
      </c>
      <c r="AA13" s="16">
        <f>_XLL.ENTROPY('data T-s chart'!$A$1,"Tq",AB13,AB$5)</f>
        <v>4.48659422024376</v>
      </c>
      <c r="AB13" s="16">
        <f t="shared" si="11"/>
        <v>18.7068000095</v>
      </c>
      <c r="AC13" s="16">
        <f>_XLL.ENTROPY('data T-s chart'!$A$1,"Tq",AD13,AD$5)</f>
        <v>6.590892285456234</v>
      </c>
      <c r="AD13" s="16">
        <f t="shared" si="12"/>
        <v>18.7068000095</v>
      </c>
      <c r="AF13" s="21">
        <v>29.05126</v>
      </c>
      <c r="AG13" s="16">
        <f>_XLL.ENTROPY('data T-s chart'!$A$1,"Ph",AF13,AG$6)</f>
        <v>2.6293080112045017</v>
      </c>
      <c r="AH13" s="21">
        <f>_XLL.TEMPERATURE('data T-s chart'!$A$1,"Ph",AF13,AG$6)</f>
        <v>232.08288325827846</v>
      </c>
      <c r="AJ13" s="16">
        <v>100</v>
      </c>
      <c r="AK13" s="25">
        <f>_XLL.ENTROPY('data T-s chart'!$A$1,"Ph",AJ13,AK$6)</f>
        <v>5.401094236980352</v>
      </c>
      <c r="AL13" s="25">
        <f>_XLL.TEMPERATURE('data T-s chart'!$A$1,"Ph",AJ13,AK$6)</f>
        <v>310.99948799852825</v>
      </c>
      <c r="AN13" s="16">
        <f t="shared" si="13"/>
        <v>524.0199999999998</v>
      </c>
      <c r="AO13" s="16">
        <f>_XLL.ENTROPY('data T-s chart'!$A$1,"Ph",AN13,AO$6)</f>
        <v>5.5110815188201</v>
      </c>
      <c r="AP13" s="27">
        <f>_XLL.TEMPERATURE('data T-s chart'!$A$1,"Ph",AN13,AO$6)</f>
        <v>550.9505413325093</v>
      </c>
      <c r="AR13" s="16">
        <f t="shared" si="14"/>
        <v>524.0199999999998</v>
      </c>
      <c r="AS13" s="16">
        <f>_XLL.ENTROPY('data T-s chart'!$A$1,"Ph",AR13,AS$6)</f>
        <v>6.184297241652427</v>
      </c>
      <c r="AT13" s="27">
        <f>_XLL.TEMPERATURE('data T-s chart'!$A$1,"Ph",AR13,AS$6)</f>
        <v>700.1891432344598</v>
      </c>
    </row>
    <row r="14" spans="1:46" ht="12.75">
      <c r="A14" s="16">
        <f>_XLL.ENTROPY('data T-s chart'!$A$1,"Tq",B14,0)</f>
        <v>0.3319811266044856</v>
      </c>
      <c r="B14" s="16">
        <f t="shared" si="0"/>
        <v>22.4961600094</v>
      </c>
      <c r="D14" s="16">
        <f>_XLL.ENTROPY('data T-s chart'!$A$1,"Tq",E14,1)</f>
        <v>8.610946654698472</v>
      </c>
      <c r="E14" s="16">
        <f t="shared" si="1"/>
        <v>22.4961600094</v>
      </c>
      <c r="G14" s="16">
        <f>_XLL.ENTROPY('data T-s chart'!$A$1,"PT",H$6,H14)</f>
        <v>0.8282542288100062</v>
      </c>
      <c r="H14" s="16">
        <f t="shared" si="2"/>
        <v>59.767551170802584</v>
      </c>
      <c r="I14" s="16">
        <f>_XLL.ENTROPY('data T-s chart'!$A$1,"PT",J$6,J14)</f>
        <v>1.9212878874304136</v>
      </c>
      <c r="J14" s="16">
        <f t="shared" si="3"/>
        <v>158.3697227157981</v>
      </c>
      <c r="K14" s="16">
        <f>_XLL.ENTROPY('data T-s chart'!$A$1,"PT",L$6,L14)</f>
        <v>0.6277153282212082</v>
      </c>
      <c r="L14" s="16">
        <f t="shared" si="4"/>
        <v>44.8823200088</v>
      </c>
      <c r="M14" s="16">
        <f>_XLL.ENTROPY('data T-s chart'!$A$1,"PT",N$6,N14)</f>
        <v>0.6486754981598754</v>
      </c>
      <c r="N14" s="16">
        <f t="shared" si="5"/>
        <v>48.00940000940001</v>
      </c>
      <c r="P14" s="16">
        <f>_XLL.ENTROPY('data T-s chart'!$A$1,"Tv",Q14,Q$6)</f>
        <v>0.9587704534663064</v>
      </c>
      <c r="Q14" s="16">
        <f t="shared" si="6"/>
        <v>48.00940000940001</v>
      </c>
      <c r="R14" s="16">
        <f>_XLL.ENTROPY('data T-s chart'!$A$1,"Tv",S14,S$6)</f>
        <v>0.6830270979922869</v>
      </c>
      <c r="S14" s="16">
        <f t="shared" si="7"/>
        <v>48.00940000940001</v>
      </c>
      <c r="T14" s="16">
        <f>_XLL.ENTROPY('data T-s chart'!$A$1,"Tv",U14,U$6)</f>
        <v>0.6791473271141507</v>
      </c>
      <c r="U14" s="16">
        <f t="shared" si="8"/>
        <v>48.00940000940001</v>
      </c>
      <c r="V14" s="16">
        <f>_XLL.ENTROPY('data T-s chart'!$A$1,"Tv",W14,W$6)</f>
        <v>0.6785251656580172</v>
      </c>
      <c r="W14" s="16">
        <f t="shared" si="9"/>
        <v>48.00940000940001</v>
      </c>
      <c r="Y14" s="16">
        <f>_XLL.ENTROPY('data T-s chart'!$A$1,"Tq",Z14,Z$5)</f>
        <v>2.4014651848095077</v>
      </c>
      <c r="Z14" s="16">
        <f t="shared" si="10"/>
        <v>22.4461600094</v>
      </c>
      <c r="AA14" s="16">
        <f>_XLL.ENTROPY('data T-s chart'!$A$1,"Tq",AB14,AB$5)</f>
        <v>4.471656820792645</v>
      </c>
      <c r="AB14" s="16">
        <f t="shared" si="11"/>
        <v>22.4461600094</v>
      </c>
      <c r="AC14" s="16">
        <f>_XLL.ENTROPY('data T-s chart'!$A$1,"Tq",AD14,AD$5)</f>
        <v>6.541848456775782</v>
      </c>
      <c r="AD14" s="16">
        <f t="shared" si="12"/>
        <v>22.4461600094</v>
      </c>
      <c r="AF14" s="16">
        <f aca="true" t="shared" si="15" ref="AF14:AF32">AF13-(AF$13-AF$33)/20</f>
        <v>27.623697</v>
      </c>
      <c r="AG14" s="16">
        <f>_XLL.ENTROPY('data T-s chart'!$A$1,"Ph",AF14,AG$6)</f>
        <v>2.629721534482105</v>
      </c>
      <c r="AH14" s="25">
        <f>_XLL.TEMPERATURE('data T-s chart'!$A$1,"Ph",AF14,AG$6)</f>
        <v>229.3251705149588</v>
      </c>
      <c r="AJ14" s="16">
        <v>80</v>
      </c>
      <c r="AK14" s="16">
        <f>_XLL.ENTROPY('data T-s chart'!$A$1,"Ph",AJ14,AK$6)</f>
        <v>5.465682003916321</v>
      </c>
      <c r="AL14" s="25">
        <f>_XLL.TEMPERATURE('data T-s chart'!$A$1,"Ph",AJ14,AK$6)</f>
        <v>295.0091212293113</v>
      </c>
      <c r="AN14" s="16">
        <f t="shared" si="13"/>
        <v>496.43999999999977</v>
      </c>
      <c r="AO14" s="16">
        <f>_XLL.ENTROPY('data T-s chart'!$A$1,"Ph",AN14,AO$6)</f>
        <v>5.527651446988696</v>
      </c>
      <c r="AP14" s="25">
        <f>_XLL.TEMPERATURE('data T-s chart'!$A$1,"Ph",AN14,AO$6)</f>
        <v>544.1572140623167</v>
      </c>
      <c r="AR14" s="16">
        <f t="shared" si="14"/>
        <v>496.43999999999977</v>
      </c>
      <c r="AS14" s="16">
        <f>_XLL.ENTROPY('data T-s chart'!$A$1,"Ph",AR14,AS$6)</f>
        <v>6.205621176811062</v>
      </c>
      <c r="AT14" s="25">
        <f>_XLL.TEMPERATURE('data T-s chart'!$A$1,"Ph",AR14,AS$6)</f>
        <v>694.8221178359993</v>
      </c>
    </row>
    <row r="15" spans="1:46" ht="12.75">
      <c r="A15" s="16">
        <f>_XLL.ENTROPY('data T-s chart'!$A$1,"Tq",B15,0)</f>
        <v>0.3845500280011138</v>
      </c>
      <c r="B15" s="16">
        <f t="shared" si="0"/>
        <v>26.2355200093</v>
      </c>
      <c r="D15" s="16">
        <f>_XLL.ENTROPY('data T-s chart'!$A$1,"Tq",E15,1)</f>
        <v>8.530507158671822</v>
      </c>
      <c r="E15" s="16">
        <f t="shared" si="1"/>
        <v>26.2355200093</v>
      </c>
      <c r="G15" s="16">
        <f>_XLL.ENTROPY('data T-s chart'!$A$1,"PT",H$6,H15)</f>
        <v>0.9516201030482361</v>
      </c>
      <c r="H15" s="16">
        <f t="shared" si="2"/>
        <v>69.72714303093635</v>
      </c>
      <c r="I15" s="16">
        <f>_XLL.ENTROPY('data T-s chart'!$A$1,"PT",J$6,J15)</f>
        <v>2.180067441376705</v>
      </c>
      <c r="J15" s="16">
        <f t="shared" si="3"/>
        <v>184.7630098334311</v>
      </c>
      <c r="K15" s="16">
        <f>_XLL.ENTROPY('data T-s chart'!$A$1,"PT",L$6,L15)</f>
        <v>0.7237420408266875</v>
      </c>
      <c r="L15" s="16">
        <f t="shared" si="4"/>
        <v>52.3610400086</v>
      </c>
      <c r="M15" s="16">
        <f>_XLL.ENTROPY('data T-s chart'!$A$1,"PT",N$6,N15)</f>
        <v>0.7484319192920619</v>
      </c>
      <c r="N15" s="16">
        <f t="shared" si="5"/>
        <v>56.00930000930001</v>
      </c>
      <c r="P15" s="16">
        <f>_XLL.ENTROPY('data T-s chart'!$A$1,"Tv",Q15,Q$6)</f>
        <v>1.173446052768742</v>
      </c>
      <c r="Q15" s="16">
        <f t="shared" si="6"/>
        <v>56.00930000930001</v>
      </c>
      <c r="R15" s="16">
        <f>_XLL.ENTROPY('data T-s chart'!$A$1,"Tv",S15,S$6)</f>
        <v>0.7878886995611393</v>
      </c>
      <c r="S15" s="16">
        <f t="shared" si="7"/>
        <v>56.00930000930001</v>
      </c>
      <c r="T15" s="16">
        <f>_XLL.ENTROPY('data T-s chart'!$A$1,"Tv",U15,U$6)</f>
        <v>0.7824638210966895</v>
      </c>
      <c r="U15" s="16">
        <f t="shared" si="8"/>
        <v>56.00930000930001</v>
      </c>
      <c r="V15" s="16">
        <f>_XLL.ENTROPY('data T-s chart'!$A$1,"Tv",W15,W$6)</f>
        <v>0.7815938856312192</v>
      </c>
      <c r="W15" s="16">
        <f t="shared" si="9"/>
        <v>56.00930000930001</v>
      </c>
      <c r="Y15" s="16">
        <f>_XLL.ENTROPY('data T-s chart'!$A$1,"Tq",Z15,Z$5)</f>
        <v>2.4207801010408474</v>
      </c>
      <c r="Z15" s="16">
        <f t="shared" si="10"/>
        <v>26.1855200093</v>
      </c>
      <c r="AA15" s="16">
        <f>_XLL.ENTROPY('data T-s chart'!$A$1,"Tq",AB15,AB$5)</f>
        <v>4.457708599664864</v>
      </c>
      <c r="AB15" s="16">
        <f t="shared" si="11"/>
        <v>26.1855200093</v>
      </c>
      <c r="AC15" s="16">
        <f>_XLL.ENTROPY('data T-s chart'!$A$1,"Tq",AD15,AD$5)</f>
        <v>6.494637098288881</v>
      </c>
      <c r="AD15" s="16">
        <f t="shared" si="12"/>
        <v>26.1855200093</v>
      </c>
      <c r="AF15" s="16">
        <f t="shared" si="15"/>
        <v>26.196134</v>
      </c>
      <c r="AG15" s="16">
        <f>_XLL.ENTROPY('data T-s chart'!$A$1,"Ph",AF15,AG$6)</f>
        <v>2.6302899129941286</v>
      </c>
      <c r="AH15" s="25">
        <f>_XLL.TEMPERATURE('data T-s chart'!$A$1,"Ph",AF15,AG$6)</f>
        <v>226.45539959918585</v>
      </c>
      <c r="AJ15" s="16">
        <v>70</v>
      </c>
      <c r="AK15" s="16">
        <f>_XLL.ENTROPY('data T-s chart'!$A$1,"Ph",AJ15,AK$6)</f>
        <v>5.505911531813812</v>
      </c>
      <c r="AL15" s="25">
        <f>_XLL.TEMPERATURE('data T-s chart'!$A$1,"Ph",AJ15,AK$6)</f>
        <v>285.8300228057516</v>
      </c>
      <c r="AN15" s="16">
        <f t="shared" si="13"/>
        <v>468.8599999999998</v>
      </c>
      <c r="AO15" s="16">
        <f>_XLL.ENTROPY('data T-s chart'!$A$1,"Ph",AN15,AO$6)</f>
        <v>5.545183837085323</v>
      </c>
      <c r="AP15" s="25">
        <f>_XLL.TEMPERATURE('data T-s chart'!$A$1,"Ph",AN15,AO$6)</f>
        <v>536.9614323814234</v>
      </c>
      <c r="AR15" s="16">
        <f t="shared" si="14"/>
        <v>468.8599999999998</v>
      </c>
      <c r="AS15" s="16">
        <f>_XLL.ENTROPY('data T-s chart'!$A$1,"Ph",AR15,AS$6)</f>
        <v>6.228235586442899</v>
      </c>
      <c r="AT15" s="25">
        <f>_XLL.TEMPERATURE('data T-s chart'!$A$1,"Ph",AR15,AS$6)</f>
        <v>689.2516210667585</v>
      </c>
    </row>
    <row r="16" spans="1:46" ht="12.75">
      <c r="A16" s="16">
        <f>_XLL.ENTROPY('data T-s chart'!$A$1,"Tq",B16,0)</f>
        <v>0.43644653597206096</v>
      </c>
      <c r="B16" s="16">
        <f t="shared" si="0"/>
        <v>29.9748800092</v>
      </c>
      <c r="D16" s="16">
        <f>_XLL.ENTROPY('data T-s chart'!$A$1,"Tq",E16,1)</f>
        <v>8.452628976851093</v>
      </c>
      <c r="E16" s="16">
        <f t="shared" si="1"/>
        <v>29.9748800092</v>
      </c>
      <c r="G16" s="16">
        <f>_XLL.ENTROPY('data T-s chart'!$A$1,"PT",H$6,H16)</f>
        <v>1.0716334773599414</v>
      </c>
      <c r="H16" s="16">
        <f t="shared" si="2"/>
        <v>79.68673489107012</v>
      </c>
      <c r="I16" s="16">
        <f>_XLL.ENTROPY('data T-s chart'!$A$1,"PT",J$6,J16)</f>
        <v>2.4303184173007395</v>
      </c>
      <c r="J16" s="16">
        <f t="shared" si="3"/>
        <v>211.15629695106412</v>
      </c>
      <c r="K16" s="16">
        <f>_XLL.ENTROPY('data T-s chart'!$A$1,"PT",L$6,L16)</f>
        <v>0.817664943655478</v>
      </c>
      <c r="L16" s="16">
        <f t="shared" si="4"/>
        <v>59.8397600084</v>
      </c>
      <c r="M16" s="16">
        <f>_XLL.ENTROPY('data T-s chart'!$A$1,"PT",N$6,N16)</f>
        <v>0.8459235142846271</v>
      </c>
      <c r="N16" s="16">
        <f t="shared" si="5"/>
        <v>64.00920000920001</v>
      </c>
      <c r="P16" s="16">
        <f>_XLL.ENTROPY('data T-s chart'!$A$1,"Tv",Q16,Q$6)</f>
        <v>1.4194290552505597</v>
      </c>
      <c r="Q16" s="16">
        <f t="shared" si="6"/>
        <v>64.00920000920001</v>
      </c>
      <c r="R16" s="16">
        <f>_XLL.ENTROPY('data T-s chart'!$A$1,"Tv",S16,S$6)</f>
        <v>0.8909488765760837</v>
      </c>
      <c r="S16" s="16">
        <f t="shared" si="7"/>
        <v>64.00920000920001</v>
      </c>
      <c r="T16" s="16">
        <f>_XLL.ENTROPY('data T-s chart'!$A$1,"Tv",U16,U$6)</f>
        <v>0.8835130418907159</v>
      </c>
      <c r="U16" s="16">
        <f t="shared" si="8"/>
        <v>64.00920000920001</v>
      </c>
      <c r="V16" s="16">
        <f>_XLL.ENTROPY('data T-s chart'!$A$1,"Tv",W16,W$6)</f>
        <v>0.8823206287609902</v>
      </c>
      <c r="W16" s="16">
        <f t="shared" si="9"/>
        <v>64.00920000920001</v>
      </c>
      <c r="Y16" s="16">
        <f>_XLL.ENTROPY('data T-s chart'!$A$1,"Tq",Z16,Z$5)</f>
        <v>2.4402311832181582</v>
      </c>
      <c r="Z16" s="16">
        <f t="shared" si="10"/>
        <v>29.9248800092</v>
      </c>
      <c r="AA16" s="16">
        <f>_XLL.ENTROPY('data T-s chart'!$A$1,"Tq",AB16,AB$5)</f>
        <v>4.444705417681332</v>
      </c>
      <c r="AB16" s="16">
        <f t="shared" si="11"/>
        <v>29.9248800092</v>
      </c>
      <c r="AC16" s="16">
        <f>_XLL.ENTROPY('data T-s chart'!$A$1,"Tq",AD16,AD$5)</f>
        <v>6.4491796521445055</v>
      </c>
      <c r="AD16" s="16">
        <f t="shared" si="12"/>
        <v>29.9248800092</v>
      </c>
      <c r="AF16" s="16">
        <f t="shared" si="15"/>
        <v>24.768571</v>
      </c>
      <c r="AG16" s="16">
        <f>_XLL.ENTROPY('data T-s chart'!$A$1,"Ph",AF16,AG$6)</f>
        <v>2.631036196098612</v>
      </c>
      <c r="AH16" s="25">
        <f>_XLL.TEMPERATURE('data T-s chart'!$A$1,"Ph",AF16,AG$6)</f>
        <v>223.46238916809443</v>
      </c>
      <c r="AJ16" s="16">
        <v>60</v>
      </c>
      <c r="AK16" s="16">
        <f>_XLL.ENTROPY('data T-s chart'!$A$1,"Ph",AJ16,AK$6)</f>
        <v>5.553728991068869</v>
      </c>
      <c r="AL16" s="25">
        <f>_XLL.TEMPERATURE('data T-s chart'!$A$1,"Ph",AJ16,AK$6)</f>
        <v>275.5864107560508</v>
      </c>
      <c r="AN16" s="16">
        <f t="shared" si="13"/>
        <v>441.2799999999998</v>
      </c>
      <c r="AO16" s="16">
        <f>_XLL.ENTROPY('data T-s chart'!$A$1,"Ph",AN16,AO$6)</f>
        <v>5.563812390373165</v>
      </c>
      <c r="AP16" s="25">
        <f>_XLL.TEMPERATURE('data T-s chart'!$A$1,"Ph",AN16,AO$6)</f>
        <v>529.3277384423194</v>
      </c>
      <c r="AR16" s="16">
        <f t="shared" si="14"/>
        <v>441.2799999999998</v>
      </c>
      <c r="AS16" s="16">
        <f>_XLL.ENTROPY('data T-s chart'!$A$1,"Ph",AR16,AS$6)</f>
        <v>6.252309117615283</v>
      </c>
      <c r="AT16" s="25">
        <f>_XLL.TEMPERATURE('data T-s chart'!$A$1,"Ph",AR16,AS$6)</f>
        <v>683.4680931206225</v>
      </c>
    </row>
    <row r="17" spans="1:46" ht="12.75">
      <c r="A17" s="16">
        <f>_XLL.ENTROPY('data T-s chart'!$A$1,"Tq",B17,0)</f>
        <v>0.4876931150664889</v>
      </c>
      <c r="B17" s="16">
        <f t="shared" si="0"/>
        <v>33.7142400091</v>
      </c>
      <c r="D17" s="16">
        <f>_XLL.ENTROPY('data T-s chart'!$A$1,"Tq",E17,1)</f>
        <v>8.377204854837267</v>
      </c>
      <c r="E17" s="16">
        <f t="shared" si="1"/>
        <v>33.7142400091</v>
      </c>
      <c r="G17" s="16">
        <f>_XLL.ENTROPY('data T-s chart'!$A$1,"PT",H$6,H17)</f>
        <v>1.1885385940817872</v>
      </c>
      <c r="H17" s="16">
        <f t="shared" si="2"/>
        <v>89.64632675120389</v>
      </c>
      <c r="I17" s="16">
        <f>_XLL.ENTROPY('data T-s chart'!$A$1,"PT",J$6,J17)</f>
        <v>2.675613377576774</v>
      </c>
      <c r="J17" s="16">
        <f t="shared" si="3"/>
        <v>237.54958406869713</v>
      </c>
      <c r="K17" s="16">
        <f>_XLL.ENTROPY('data T-s chart'!$A$1,"PT",L$6,L17)</f>
        <v>0.9095913836437375</v>
      </c>
      <c r="L17" s="16">
        <f t="shared" si="4"/>
        <v>67.3184800082</v>
      </c>
      <c r="M17" s="16">
        <f>_XLL.ENTROPY('data T-s chart'!$A$1,"PT",N$6,N17)</f>
        <v>0.9412562201804205</v>
      </c>
      <c r="N17" s="16">
        <f t="shared" si="5"/>
        <v>72.00910000910001</v>
      </c>
      <c r="P17" s="16">
        <f>_XLL.ENTROPY('data T-s chart'!$A$1,"Tv",Q17,Q$6)</f>
        <v>1.703677420461167</v>
      </c>
      <c r="Q17" s="16">
        <f t="shared" si="6"/>
        <v>72.00910000910001</v>
      </c>
      <c r="R17" s="16">
        <f>_XLL.ENTROPY('data T-s chart'!$A$1,"Tv",S17,S$6)</f>
        <v>0.992473051202694</v>
      </c>
      <c r="S17" s="16">
        <f t="shared" si="7"/>
        <v>72.00910000910001</v>
      </c>
      <c r="T17" s="16">
        <f>_XLL.ENTROPY('data T-s chart'!$A$1,"Tv",U17,U$6)</f>
        <v>0.982466246159255</v>
      </c>
      <c r="U17" s="16">
        <f t="shared" si="8"/>
        <v>72.00910000910001</v>
      </c>
      <c r="V17" s="16">
        <f>_XLL.ENTROPY('data T-s chart'!$A$1,"Tv",W17,W$6)</f>
        <v>0.9808615512964333</v>
      </c>
      <c r="W17" s="16">
        <f t="shared" si="9"/>
        <v>72.00910000910001</v>
      </c>
      <c r="Y17" s="16">
        <f>_XLL.ENTROPY('data T-s chart'!$A$1,"Tq",Z17,Z$5)</f>
        <v>2.459808467058476</v>
      </c>
      <c r="Z17" s="16">
        <f t="shared" si="10"/>
        <v>33.6642400091</v>
      </c>
      <c r="AA17" s="16">
        <f>_XLL.ENTROPY('data T-s chart'!$A$1,"Tq",AB17,AB$5)</f>
        <v>4.432604856365427</v>
      </c>
      <c r="AB17" s="16">
        <f t="shared" si="11"/>
        <v>33.6642400091</v>
      </c>
      <c r="AC17" s="16">
        <f>_XLL.ENTROPY('data T-s chart'!$A$1,"Tq",AD17,AD$5)</f>
        <v>6.405401245672377</v>
      </c>
      <c r="AD17" s="16">
        <f t="shared" si="12"/>
        <v>33.6642400091</v>
      </c>
      <c r="AF17" s="16">
        <f t="shared" si="15"/>
        <v>23.341008000000002</v>
      </c>
      <c r="AG17" s="16">
        <f>_XLL.ENTROPY('data T-s chart'!$A$1,"Ph",AF17,AG$6)</f>
        <v>2.6319881330313772</v>
      </c>
      <c r="AH17" s="25">
        <f>_XLL.TEMPERATURE('data T-s chart'!$A$1,"Ph",AF17,AG$6)</f>
        <v>220.33310521023543</v>
      </c>
      <c r="AJ17" s="16">
        <v>50</v>
      </c>
      <c r="AK17" s="16">
        <f>_XLL.ENTROPY('data T-s chart'!$A$1,"Ph",AJ17,AK$6)</f>
        <v>5.612078120332917</v>
      </c>
      <c r="AL17" s="25">
        <f>_XLL.TEMPERATURE('data T-s chart'!$A$1,"Ph",AJ17,AK$6)</f>
        <v>263.9428711863302</v>
      </c>
      <c r="AN17" s="16">
        <f t="shared" si="13"/>
        <v>413.6999999999998</v>
      </c>
      <c r="AO17" s="16">
        <f>_XLL.ENTROPY('data T-s chart'!$A$1,"Ph",AN17,AO$6)</f>
        <v>5.583702260169402</v>
      </c>
      <c r="AP17" s="25">
        <f>_XLL.TEMPERATURE('data T-s chart'!$A$1,"Ph",AN17,AO$6)</f>
        <v>521.2159045149717</v>
      </c>
      <c r="AR17" s="16">
        <f t="shared" si="14"/>
        <v>413.6999999999998</v>
      </c>
      <c r="AS17" s="16">
        <f>_XLL.ENTROPY('data T-s chart'!$A$1,"Ph",AR17,AS$6)</f>
        <v>6.278043636914639</v>
      </c>
      <c r="AT17" s="25">
        <f>_XLL.TEMPERATURE('data T-s chart'!$A$1,"Ph",AR17,AS$6)</f>
        <v>677.4614941029369</v>
      </c>
    </row>
    <row r="18" spans="1:46" ht="12.75">
      <c r="A18" s="16">
        <f>_XLL.ENTROPY('data T-s chart'!$A$1,"Tq",B18,0)</f>
        <v>0.5383105727353948</v>
      </c>
      <c r="B18" s="16">
        <f t="shared" si="0"/>
        <v>37.453600009000006</v>
      </c>
      <c r="D18" s="16">
        <f>_XLL.ENTROPY('data T-s chart'!$A$1,"Tq",E18,1)</f>
        <v>8.304132742084871</v>
      </c>
      <c r="E18" s="16">
        <f t="shared" si="1"/>
        <v>37.453600009000006</v>
      </c>
      <c r="G18" s="21">
        <f>_XLL.ENTROPY('data T-s chart'!$A$1,"Tq",H18,0)</f>
        <v>1.3025601737745955</v>
      </c>
      <c r="H18" s="21">
        <f>_XLL.TEMPERATURE('data T-s chart'!$A$1,"Pq",$H$6,0)</f>
        <v>99.60591861133764</v>
      </c>
      <c r="I18" s="21">
        <f>_XLL.ENTROPY('data T-s chart'!$A$1,"Tq",J18,0)</f>
        <v>2.9207459641753446</v>
      </c>
      <c r="J18" s="21">
        <f>_XLL.TEMPERATURE('data T-s chart'!$A$1,"Pq",J$6,0)</f>
        <v>263.9428711863302</v>
      </c>
      <c r="K18" s="16">
        <f>_XLL.ENTROPY('data T-s chart'!$A$1,"PT",L$6,L18)</f>
        <v>0.9996232680304092</v>
      </c>
      <c r="L18" s="16">
        <f t="shared" si="4"/>
        <v>74.797200008</v>
      </c>
      <c r="M18" s="16">
        <f>_XLL.ENTROPY('data T-s chart'!$A$1,"PT",N$6,N18)</f>
        <v>1.034532777669226</v>
      </c>
      <c r="N18" s="16">
        <f t="shared" si="5"/>
        <v>80.009000009</v>
      </c>
      <c r="P18" s="16">
        <f>_XLL.ENTROPY('data T-s chart'!$A$1,"Tv",Q18,Q$6)</f>
        <v>2.0337411484780534</v>
      </c>
      <c r="Q18" s="16">
        <f t="shared" si="6"/>
        <v>80.009000009</v>
      </c>
      <c r="R18" s="16">
        <f>_XLL.ENTROPY('data T-s chart'!$A$1,"Tv",S18,S$6)</f>
        <v>1.092726482997244</v>
      </c>
      <c r="S18" s="16">
        <f t="shared" si="7"/>
        <v>80.009000009</v>
      </c>
      <c r="T18" s="16">
        <f>_XLL.ENTROPY('data T-s chart'!$A$1,"Tv",U18,U$6)</f>
        <v>1.0794861955250206</v>
      </c>
      <c r="U18" s="16">
        <f t="shared" si="8"/>
        <v>80.009000009</v>
      </c>
      <c r="V18" s="16">
        <f>_XLL.ENTROPY('data T-s chart'!$A$1,"Tv",W18,W$6)</f>
        <v>1.0773629782547</v>
      </c>
      <c r="W18" s="16">
        <f t="shared" si="9"/>
        <v>80.009000009</v>
      </c>
      <c r="Y18" s="16">
        <f>_XLL.ENTROPY('data T-s chart'!$A$1,"Tq",Z18,Z$5)</f>
        <v>2.4795020433605455</v>
      </c>
      <c r="Z18" s="16">
        <f t="shared" si="10"/>
        <v>37.403600009</v>
      </c>
      <c r="AA18" s="16">
        <f>_XLL.ENTROPY('data T-s chart'!$A$1,"Tq",AB18,AB$5)</f>
        <v>4.421366270444371</v>
      </c>
      <c r="AB18" s="16">
        <f t="shared" si="11"/>
        <v>37.403600009</v>
      </c>
      <c r="AC18" s="16">
        <f>_XLL.ENTROPY('data T-s chart'!$A$1,"Tq",AD18,AD$5)</f>
        <v>6.363230497528195</v>
      </c>
      <c r="AD18" s="16">
        <f t="shared" si="12"/>
        <v>37.403600009</v>
      </c>
      <c r="AF18" s="16">
        <f t="shared" si="15"/>
        <v>21.913445000000003</v>
      </c>
      <c r="AG18" s="16">
        <f>_XLL.ENTROPY('data T-s chart'!$A$1,"Ph",AF18,AG$6)</f>
        <v>2.6331794655269767</v>
      </c>
      <c r="AH18" s="25">
        <f>_XLL.TEMPERATURE('data T-s chart'!$A$1,"Ph",AF18,AG$6)</f>
        <v>217.05221742737314</v>
      </c>
      <c r="AJ18" s="16">
        <v>20</v>
      </c>
      <c r="AK18" s="16">
        <f>_XLL.ENTROPY('data T-s chart'!$A$1,"Ph",AJ18,AK$6)</f>
        <v>5.930573865482278</v>
      </c>
      <c r="AL18" s="25">
        <f>_XLL.TEMPERATURE('data T-s chart'!$A$1,"Ph",AJ18,AK$6)</f>
        <v>212.38453531849052</v>
      </c>
      <c r="AN18" s="16">
        <f t="shared" si="13"/>
        <v>386.11999999999983</v>
      </c>
      <c r="AO18" s="16">
        <f>_XLL.ENTROPY('data T-s chart'!$A$1,"Ph",AN18,AO$6)</f>
        <v>5.605059239214977</v>
      </c>
      <c r="AP18" s="25">
        <f>_XLL.TEMPERATURE('data T-s chart'!$A$1,"Ph",AN18,AO$6)</f>
        <v>512.5799713521226</v>
      </c>
      <c r="AR18" s="16">
        <f t="shared" si="14"/>
        <v>386.11999999999983</v>
      </c>
      <c r="AS18" s="16">
        <f>_XLL.ENTROPY('data T-s chart'!$A$1,"Ph",AR18,AS$6)</f>
        <v>6.305683333778637</v>
      </c>
      <c r="AT18" s="25">
        <f>_XLL.TEMPERATURE('data T-s chart'!$A$1,"Ph",AR18,AS$6)</f>
        <v>671.221252788777</v>
      </c>
    </row>
    <row r="19" spans="1:46" ht="12.75">
      <c r="A19" s="16">
        <f>_XLL.ENTROPY('data T-s chart'!$A$1,"Tq",B19,0)</f>
        <v>0.5883184262015275</v>
      </c>
      <c r="B19" s="16">
        <f t="shared" si="0"/>
        <v>41.19296000890001</v>
      </c>
      <c r="D19" s="16">
        <f>_XLL.ENTROPY('data T-s chart'!$A$1,"Tq",E19,1)</f>
        <v>8.233315395218018</v>
      </c>
      <c r="E19" s="16">
        <f t="shared" si="1"/>
        <v>41.19296000890001</v>
      </c>
      <c r="G19" s="25">
        <f>_XLL.ENTROPY('data T-s chart'!$A$1,"Tq",H19,0.1)</f>
        <v>1.9081848205040721</v>
      </c>
      <c r="H19" s="16">
        <f aca="true" t="shared" si="16" ref="H19:H28">H18</f>
        <v>99.60591861133764</v>
      </c>
      <c r="I19" s="25">
        <f>_XLL.ENTROPY('data T-s chart'!$A$1,"Tq",J19,0.1)</f>
        <v>3.226041773150085</v>
      </c>
      <c r="J19" s="16">
        <f aca="true" t="shared" si="17" ref="J19:J28">J18</f>
        <v>263.9428711863302</v>
      </c>
      <c r="K19" s="16">
        <f>_XLL.ENTROPY('data T-s chart'!$A$1,"PT",L$6,L19)</f>
        <v>1.0878570178975653</v>
      </c>
      <c r="L19" s="16">
        <f t="shared" si="4"/>
        <v>82.27592000780001</v>
      </c>
      <c r="M19" s="16">
        <f>_XLL.ENTROPY('data T-s chart'!$A$1,"PT",N$6,N19)</f>
        <v>1.1258515242460008</v>
      </c>
      <c r="N19" s="16">
        <f t="shared" si="5"/>
        <v>88.0089000089</v>
      </c>
      <c r="P19" s="16">
        <f>_XLL.ENTROPY('data T-s chart'!$A$1,"Tv",Q19,Q$6)</f>
        <v>2.417695047760659</v>
      </c>
      <c r="Q19" s="16">
        <f t="shared" si="6"/>
        <v>88.0089000089</v>
      </c>
      <c r="R19" s="16">
        <f>_XLL.ENTROPY('data T-s chart'!$A$1,"Tv",S19,S$6)</f>
        <v>1.1919741209307388</v>
      </c>
      <c r="S19" s="16">
        <f t="shared" si="7"/>
        <v>88.0089000089</v>
      </c>
      <c r="T19" s="16">
        <f>_XLL.ENTROPY('data T-s chart'!$A$1,"Tv",U19,U$6)</f>
        <v>1.1747279524837722</v>
      </c>
      <c r="U19" s="16">
        <f t="shared" si="8"/>
        <v>88.0089000089</v>
      </c>
      <c r="V19" s="16">
        <f>_XLL.ENTROPY('data T-s chart'!$A$1,"Tv",W19,W$6)</f>
        <v>1.1719623506967811</v>
      </c>
      <c r="W19" s="16">
        <f t="shared" si="9"/>
        <v>88.0089000089</v>
      </c>
      <c r="Y19" s="16">
        <f>_XLL.ENTROPY('data T-s chart'!$A$1,"Tq",Z19,Z$5)</f>
        <v>2.4993022352852012</v>
      </c>
      <c r="Z19" s="16">
        <f t="shared" si="10"/>
        <v>41.142960008900005</v>
      </c>
      <c r="AA19" s="16">
        <f>_XLL.ENTROPY('data T-s chart'!$A$1,"Tq",AB19,AB$5)</f>
        <v>4.410950773618042</v>
      </c>
      <c r="AB19" s="16">
        <f t="shared" si="11"/>
        <v>41.142960008900005</v>
      </c>
      <c r="AC19" s="16">
        <f>_XLL.ENTROPY('data T-s chart'!$A$1,"Tq",AD19,AD$5)</f>
        <v>6.322599311950883</v>
      </c>
      <c r="AD19" s="16">
        <f t="shared" si="12"/>
        <v>41.142960008900005</v>
      </c>
      <c r="AF19" s="16">
        <f t="shared" si="15"/>
        <v>20.485882000000004</v>
      </c>
      <c r="AG19" s="16">
        <f>_XLL.ENTROPY('data T-s chart'!$A$1,"Ph",AF19,AG$6)</f>
        <v>2.6346516836672422</v>
      </c>
      <c r="AH19" s="25">
        <f>_XLL.TEMPERATURE('data T-s chart'!$A$1,"Ph",AF19,AG$6)</f>
        <v>213.60151229228944</v>
      </c>
      <c r="AJ19" s="16">
        <v>10</v>
      </c>
      <c r="AK19" s="16">
        <f>_XLL.ENTROPY('data T-s chart'!$A$1,"Ph",AJ19,AK$6)</f>
        <v>6.1940158720923435</v>
      </c>
      <c r="AL19" s="25">
        <f>_XLL.TEMPERATURE('data T-s chart'!$A$1,"Ph",AJ19,AK$6)</f>
        <v>179.88563239146663</v>
      </c>
      <c r="AN19" s="16">
        <f t="shared" si="13"/>
        <v>358.53999999999985</v>
      </c>
      <c r="AO19" s="16">
        <f>_XLL.ENTROPY('data T-s chart'!$A$1,"Ph",AN19,AO$6)</f>
        <v>5.628141909921407</v>
      </c>
      <c r="AP19" s="25">
        <f>_XLL.TEMPERATURE('data T-s chart'!$A$1,"Ph",AN19,AO$6)</f>
        <v>503.36700254938796</v>
      </c>
      <c r="AR19" s="16">
        <f t="shared" si="14"/>
        <v>358.53999999999985</v>
      </c>
      <c r="AS19" s="16">
        <f>_XLL.ENTROPY('data T-s chart'!$A$1,"Ph",AR19,AS$6)</f>
        <v>6.335527252867807</v>
      </c>
      <c r="AT19" s="25">
        <f>_XLL.TEMPERATURE('data T-s chart'!$A$1,"Ph",AR19,AS$6)</f>
        <v>664.7362043264704</v>
      </c>
    </row>
    <row r="20" spans="1:46" ht="12.75">
      <c r="A20" s="16">
        <f>_XLL.ENTROPY('data T-s chart'!$A$1,"Tq",B20,0)</f>
        <v>0.6377351509234731</v>
      </c>
      <c r="B20" s="16">
        <f t="shared" si="0"/>
        <v>44.93232000880001</v>
      </c>
      <c r="D20" s="16">
        <f>_XLL.ENTROPY('data T-s chart'!$A$1,"Tq",E20,1)</f>
        <v>8.164660023080105</v>
      </c>
      <c r="E20" s="16">
        <f t="shared" si="1"/>
        <v>44.93232000880001</v>
      </c>
      <c r="G20" s="25">
        <f>_XLL.ENTROPY('data T-s chart'!$A$1,"Tq",H20,0.2)</f>
        <v>2.513809467233549</v>
      </c>
      <c r="H20" s="16">
        <f t="shared" si="16"/>
        <v>99.60591861133764</v>
      </c>
      <c r="I20" s="25">
        <f>_XLL.ENTROPY('data T-s chart'!$A$1,"Tq",J20,0.2)</f>
        <v>3.5313375821248245</v>
      </c>
      <c r="J20" s="16">
        <f t="shared" si="17"/>
        <v>263.9428711863302</v>
      </c>
      <c r="K20" s="16">
        <f>_XLL.ENTROPY('data T-s chart'!$A$1,"PT",L$6,L20)</f>
        <v>1.174383723877921</v>
      </c>
      <c r="L20" s="16">
        <f t="shared" si="4"/>
        <v>89.75464000760002</v>
      </c>
      <c r="M20" s="16">
        <f>_XLL.ENTROPY('data T-s chart'!$A$1,"PT",N$6,N20)</f>
        <v>1.2153059218798026</v>
      </c>
      <c r="N20" s="16">
        <f t="shared" si="5"/>
        <v>96.0088000088</v>
      </c>
      <c r="P20" s="16">
        <f>_XLL.ENTROPY('data T-s chart'!$A$1,"Tv",Q20,Q$6)</f>
        <v>2.864061940648731</v>
      </c>
      <c r="Q20" s="16">
        <f t="shared" si="6"/>
        <v>96.0088000088</v>
      </c>
      <c r="R20" s="16">
        <f>_XLL.ENTROPY('data T-s chart'!$A$1,"Tv",S20,S$6)</f>
        <v>1.2904801571372138</v>
      </c>
      <c r="S20" s="16">
        <f t="shared" si="7"/>
        <v>96.0088000088</v>
      </c>
      <c r="T20" s="16">
        <f>_XLL.ENTROPY('data T-s chart'!$A$1,"Tv",U20,U$6)</f>
        <v>1.2683395083896187</v>
      </c>
      <c r="U20" s="16">
        <f t="shared" si="8"/>
        <v>96.0088000088</v>
      </c>
      <c r="V20" s="16">
        <f>_XLL.ENTROPY('data T-s chart'!$A$1,"Tv",W20,W$6)</f>
        <v>1.264789025977842</v>
      </c>
      <c r="W20" s="16">
        <f t="shared" si="9"/>
        <v>96.0088000088</v>
      </c>
      <c r="Y20" s="16">
        <f>_XLL.ENTROPY('data T-s chart'!$A$1,"Tq",Z20,Z$5)</f>
        <v>2.519199696799703</v>
      </c>
      <c r="Z20" s="16">
        <f t="shared" si="10"/>
        <v>44.88232000880001</v>
      </c>
      <c r="AA20" s="16">
        <f>_XLL.ENTROPY('data T-s chart'!$A$1,"Tq",AB20,AB$5)</f>
        <v>4.401321185690915</v>
      </c>
      <c r="AB20" s="16">
        <f t="shared" si="11"/>
        <v>44.88232000880001</v>
      </c>
      <c r="AC20" s="16">
        <f>_XLL.ENTROPY('data T-s chart'!$A$1,"Tq",AD20,AD$5)</f>
        <v>6.283442674582129</v>
      </c>
      <c r="AD20" s="16">
        <f t="shared" si="12"/>
        <v>44.88232000880001</v>
      </c>
      <c r="AF20" s="16">
        <f t="shared" si="15"/>
        <v>19.058319000000004</v>
      </c>
      <c r="AG20" s="16">
        <f>_XLL.ENTROPY('data T-s chart'!$A$1,"Ph",AF20,AG$6)</f>
        <v>2.63645645573529</v>
      </c>
      <c r="AH20" s="25">
        <f>_XLL.TEMPERATURE('data T-s chart'!$A$1,"Ph",AF20,AG$6)</f>
        <v>209.95910276246872</v>
      </c>
      <c r="AJ20" s="16">
        <v>2</v>
      </c>
      <c r="AK20" s="16">
        <f>_XLL.ENTROPY('data T-s chart'!$A$1,"Ph",AJ20,AK$6)</f>
        <v>6.85677164527709</v>
      </c>
      <c r="AL20" s="25">
        <f>_XLL.TEMPERATURE('data T-s chart'!$A$1,"Ph",AJ20,AK$6)</f>
        <v>120.21154593648885</v>
      </c>
      <c r="AN20" s="16">
        <f t="shared" si="13"/>
        <v>330.95999999999987</v>
      </c>
      <c r="AO20" s="16">
        <f>_XLL.ENTROPY('data T-s chart'!$A$1,"Ph",AN20,AO$6)</f>
        <v>5.653278109862551</v>
      </c>
      <c r="AP20" s="25">
        <f>_XLL.TEMPERATURE('data T-s chart'!$A$1,"Ph",AN20,AO$6)</f>
        <v>493.51544627392104</v>
      </c>
      <c r="AR20" s="16">
        <f t="shared" si="14"/>
        <v>330.95999999999987</v>
      </c>
      <c r="AS20" s="16">
        <f>_XLL.ENTROPY('data T-s chart'!$A$1,"Ph",AR20,AS$6)</f>
        <v>6.367946924795037</v>
      </c>
      <c r="AT20" s="25">
        <f>_XLL.TEMPERATURE('data T-s chart'!$A$1,"Ph",AR20,AS$6)</f>
        <v>657.9945165642865</v>
      </c>
    </row>
    <row r="21" spans="1:46" ht="12.75">
      <c r="A21" s="16">
        <f>_XLL.ENTROPY('data T-s chart'!$A$1,"Tq",B21,0)</f>
        <v>0.6865783496904683</v>
      </c>
      <c r="B21" s="16">
        <f t="shared" si="0"/>
        <v>48.671680008700015</v>
      </c>
      <c r="D21" s="16">
        <f>_XLL.ENTROPY('data T-s chart'!$A$1,"Tq",E21,1)</f>
        <v>8.098077970721002</v>
      </c>
      <c r="E21" s="16">
        <f t="shared" si="1"/>
        <v>48.671680008700015</v>
      </c>
      <c r="G21" s="25">
        <f>_XLL.ENTROPY('data T-s chart'!$A$1,"Tq",H21,0.3)</f>
        <v>3.119434113963025</v>
      </c>
      <c r="H21" s="16">
        <f t="shared" si="16"/>
        <v>99.60591861133764</v>
      </c>
      <c r="I21" s="25">
        <f>_XLL.ENTROPY('data T-s chart'!$A$1,"Tq",J21,0.3)</f>
        <v>3.8366333910995642</v>
      </c>
      <c r="J21" s="16">
        <f t="shared" si="17"/>
        <v>263.9428711863302</v>
      </c>
      <c r="K21" s="16">
        <f>_XLL.ENTROPY('data T-s chart'!$A$1,"PT",L$6,L21)</f>
        <v>1.2592894605036866</v>
      </c>
      <c r="L21" s="16">
        <f t="shared" si="4"/>
        <v>97.23336000740002</v>
      </c>
      <c r="M21" s="16">
        <f>_XLL.ENTROPY('data T-s chart'!$A$1,"PT",N$6,N21)</f>
        <v>1.302984535449391</v>
      </c>
      <c r="N21" s="16">
        <f t="shared" si="5"/>
        <v>104.00870000869999</v>
      </c>
      <c r="P21" s="16">
        <f>_XLL.ENTROPY('data T-s chart'!$A$1,"Tv",Q21,Q$6)</f>
        <v>3.3817303104125753</v>
      </c>
      <c r="Q21" s="16">
        <f t="shared" si="6"/>
        <v>104.00870000869999</v>
      </c>
      <c r="R21" s="16">
        <f>_XLL.ENTROPY('data T-s chart'!$A$1,"Tv",S21,S$6)</f>
        <v>1.3885074291626764</v>
      </c>
      <c r="S21" s="16">
        <f t="shared" si="7"/>
        <v>104.00870000869999</v>
      </c>
      <c r="T21" s="16">
        <f>_XLL.ENTROPY('data T-s chart'!$A$1,"Tv",U21,U$6)</f>
        <v>1.360462336017951</v>
      </c>
      <c r="U21" s="16">
        <f t="shared" si="8"/>
        <v>104.00870000869999</v>
      </c>
      <c r="V21" s="16">
        <f>_XLL.ENTROPY('data T-s chart'!$A$1,"Tv",W21,W$6)</f>
        <v>1.3559650147749231</v>
      </c>
      <c r="W21" s="16">
        <f t="shared" si="9"/>
        <v>104.00870000869999</v>
      </c>
      <c r="Y21" s="16">
        <f>_XLL.ENTROPY('data T-s chart'!$A$1,"Tq",Z21,Z$5)</f>
        <v>2.539185461018671</v>
      </c>
      <c r="Z21" s="16">
        <f t="shared" si="10"/>
        <v>48.62168000870001</v>
      </c>
      <c r="AA21" s="16">
        <f>_XLL.ENTROPY('data T-s chart'!$A$1,"Tq",AB21,AB$5)</f>
        <v>4.392441959296098</v>
      </c>
      <c r="AB21" s="16">
        <f t="shared" si="11"/>
        <v>48.62168000870001</v>
      </c>
      <c r="AC21" s="16">
        <f>_XLL.ENTROPY('data T-s chart'!$A$1,"Tq",AD21,AD$5)</f>
        <v>6.245698457573526</v>
      </c>
      <c r="AD21" s="16">
        <f t="shared" si="12"/>
        <v>48.62168000870001</v>
      </c>
      <c r="AF21" s="16">
        <f t="shared" si="15"/>
        <v>17.630756000000005</v>
      </c>
      <c r="AG21" s="16">
        <f>_XLL.ENTROPY('data T-s chart'!$A$1,"Ph",AF21,AG$6)</f>
        <v>2.6386590624876147</v>
      </c>
      <c r="AH21" s="25">
        <f>_XLL.TEMPERATURE('data T-s chart'!$A$1,"Ph",AF21,AG$6)</f>
        <v>206.09834285476717</v>
      </c>
      <c r="AJ21" s="26">
        <v>0.157142</v>
      </c>
      <c r="AK21" s="26">
        <f>_XLL.ENTROPY('data T-s chart'!$A$1,"Ph",AJ21,AK$6)</f>
        <v>7.990928579869114</v>
      </c>
      <c r="AL21" s="21">
        <f>_XLL.TEMPERATURE('data T-s chart'!$A$1,"Ph",AJ21,AK$6)</f>
        <v>54.937399089743565</v>
      </c>
      <c r="AN21" s="16">
        <f t="shared" si="13"/>
        <v>303.3799999999999</v>
      </c>
      <c r="AO21" s="16">
        <f>_XLL.ENTROPY('data T-s chart'!$A$1,"Ph",AN21,AO$6)</f>
        <v>5.680888023719006</v>
      </c>
      <c r="AP21" s="25">
        <f>_XLL.TEMPERATURE('data T-s chart'!$A$1,"Ph",AN21,AO$6)</f>
        <v>482.9529474435153</v>
      </c>
      <c r="AR21" s="16">
        <f t="shared" si="14"/>
        <v>303.3799999999999</v>
      </c>
      <c r="AS21" s="16">
        <f>_XLL.ENTROPY('data T-s chart'!$A$1,"Ph",AR21,AS$6)</f>
        <v>6.403411781349519</v>
      </c>
      <c r="AT21" s="25">
        <f>_XLL.TEMPERATURE('data T-s chart'!$A$1,"Ph",AR21,AS$6)</f>
        <v>650.9836048006958</v>
      </c>
    </row>
    <row r="22" spans="1:46" ht="12.75">
      <c r="A22" s="16">
        <f>_XLL.ENTROPY('data T-s chart'!$A$1,"Tq",B22,0)</f>
        <v>0.7348648689493966</v>
      </c>
      <c r="B22" s="16">
        <f t="shared" si="0"/>
        <v>52.41104000860002</v>
      </c>
      <c r="D22" s="16">
        <f>_XLL.ENTROPY('data T-s chart'!$A$1,"Tq",E22,1)</f>
        <v>8.033484438448534</v>
      </c>
      <c r="E22" s="16">
        <f t="shared" si="1"/>
        <v>52.41104000860002</v>
      </c>
      <c r="G22" s="25">
        <f>_XLL.ENTROPY('data T-s chart'!$A$1,"Tq",H22,0.4)</f>
        <v>3.7250587606925016</v>
      </c>
      <c r="H22" s="16">
        <f t="shared" si="16"/>
        <v>99.60591861133764</v>
      </c>
      <c r="I22" s="25">
        <f>_XLL.ENTROPY('data T-s chart'!$A$1,"Tq",J22,0.4)</f>
        <v>4.141929200074305</v>
      </c>
      <c r="J22" s="16">
        <f t="shared" si="17"/>
        <v>263.9428711863302</v>
      </c>
      <c r="K22" s="16">
        <f>_XLL.ENTROPY('data T-s chart'!$A$1,"PT",L$6,L22)</f>
        <v>1.3426557050365682</v>
      </c>
      <c r="L22" s="16">
        <f t="shared" si="4"/>
        <v>104.71208000720003</v>
      </c>
      <c r="M22" s="16">
        <f>_XLL.ENTROPY('data T-s chart'!$A$1,"PT",N$6,N22)</f>
        <v>1.3889712718597504</v>
      </c>
      <c r="N22" s="16">
        <f t="shared" si="5"/>
        <v>112.00860000859998</v>
      </c>
      <c r="P22" s="16">
        <f>_XLL.ENTROPY('data T-s chart'!$A$1,"Tv",Q22,Q$6)</f>
        <v>3.9798699524388894</v>
      </c>
      <c r="Q22" s="16">
        <f t="shared" si="6"/>
        <v>112.00860000859998</v>
      </c>
      <c r="R22" s="16">
        <f>_XLL.ENTROPY('data T-s chart'!$A$1,"Tv",S22,S$6)</f>
        <v>1.486316744786235</v>
      </c>
      <c r="S22" s="16">
        <f t="shared" si="7"/>
        <v>112.00860000859998</v>
      </c>
      <c r="T22" s="16">
        <f>_XLL.ENTROPY('data T-s chart'!$A$1,"Tv",U22,U$6)</f>
        <v>1.4512318916933913</v>
      </c>
      <c r="U22" s="16">
        <f t="shared" si="8"/>
        <v>112.00860000859998</v>
      </c>
      <c r="V22" s="16">
        <f>_XLL.ENTROPY('data T-s chart'!$A$1,"Tv",W22,W$6)</f>
        <v>1.4456056720082326</v>
      </c>
      <c r="W22" s="16">
        <f t="shared" si="9"/>
        <v>112.00860000859998</v>
      </c>
      <c r="Y22" s="16">
        <f>_XLL.ENTROPY('data T-s chart'!$A$1,"Tq",Z22,Z$5)</f>
        <v>2.559250957530312</v>
      </c>
      <c r="Z22" s="16">
        <f t="shared" si="10"/>
        <v>52.361040008600014</v>
      </c>
      <c r="AA22" s="16">
        <f>_XLL.ENTROPY('data T-s chart'!$A$1,"Tq",AB22,AB$5)</f>
        <v>4.384279097649905</v>
      </c>
      <c r="AB22" s="16">
        <f t="shared" si="11"/>
        <v>52.361040008600014</v>
      </c>
      <c r="AC22" s="16">
        <f>_XLL.ENTROPY('data T-s chart'!$A$1,"Tq",AD22,AD$5)</f>
        <v>6.209307237769498</v>
      </c>
      <c r="AD22" s="16">
        <f t="shared" si="12"/>
        <v>52.361040008600014</v>
      </c>
      <c r="AF22" s="16">
        <f t="shared" si="15"/>
        <v>16.203193000000006</v>
      </c>
      <c r="AG22" s="16">
        <f>_XLL.ENTROPY('data T-s chart'!$A$1,"Ph",AF22,AG$6)</f>
        <v>2.641343369621646</v>
      </c>
      <c r="AH22" s="25">
        <f>_XLL.TEMPERATURE('data T-s chart'!$A$1,"Ph",AF22,AG$6)</f>
        <v>201.98630257809066</v>
      </c>
      <c r="AJ22" s="16">
        <f aca="true" t="shared" si="18" ref="AJ22:AJ40">AJ21-(AJ$21-AJ$41)/20</f>
        <v>0.14959095302842104</v>
      </c>
      <c r="AK22" s="16">
        <f>_XLL.ENTROPY('data T-s chart'!$A$1,"Ph",AJ22,AK$6)</f>
        <v>8.013547323497045</v>
      </c>
      <c r="AL22" s="25">
        <f>_XLL.TEMPERATURE('data T-s chart'!$A$1,"Ph",AJ22,AK$6)</f>
        <v>54.83229976177404</v>
      </c>
      <c r="AN22" s="16">
        <f t="shared" si="13"/>
        <v>275.7999999999999</v>
      </c>
      <c r="AO22" s="16">
        <f>_XLL.ENTROPY('data T-s chart'!$A$1,"Ph",AN22,AO$6)</f>
        <v>5.71151803929907</v>
      </c>
      <c r="AP22" s="25">
        <f>_XLL.TEMPERATURE('data T-s chart'!$A$1,"Ph",AN22,AO$6)</f>
        <v>471.59338115928836</v>
      </c>
      <c r="AR22" s="16">
        <f t="shared" si="14"/>
        <v>275.7999999999999</v>
      </c>
      <c r="AS22" s="16">
        <f>_XLL.ENTROPY('data T-s chart'!$A$1,"Ph",AR22,AS$6)</f>
        <v>6.442526834939682</v>
      </c>
      <c r="AT22" s="25">
        <f>_XLL.TEMPERATURE('data T-s chart'!$A$1,"Ph",AR22,AS$6)</f>
        <v>643.6900348724872</v>
      </c>
    </row>
    <row r="23" spans="1:46" ht="12.75">
      <c r="A23" s="16">
        <f>_XLL.ENTROPY('data T-s chart'!$A$1,"Tq",B23,0)</f>
        <v>0.7826108804080513</v>
      </c>
      <c r="B23" s="16">
        <f t="shared" si="0"/>
        <v>56.15040000850002</v>
      </c>
      <c r="D23" s="16">
        <f>_XLL.ENTROPY('data T-s chart'!$A$1,"Tq",E23,1)</f>
        <v>7.970798231478803</v>
      </c>
      <c r="E23" s="16">
        <f t="shared" si="1"/>
        <v>56.15040000850002</v>
      </c>
      <c r="G23" s="25">
        <f>_XLL.ENTROPY('data T-s chart'!$A$1,"Tq",H23,0.5)</f>
        <v>4.330683407421978</v>
      </c>
      <c r="H23" s="16">
        <f t="shared" si="16"/>
        <v>99.60591861133764</v>
      </c>
      <c r="I23" s="25">
        <f>_XLL.ENTROPY('data T-s chart'!$A$1,"Tq",J23,0.5)</f>
        <v>4.447225009049045</v>
      </c>
      <c r="J23" s="16">
        <f t="shared" si="17"/>
        <v>263.9428711863302</v>
      </c>
      <c r="K23" s="16">
        <f>_XLL.ENTROPY('data T-s chart'!$A$1,"PT",L$6,L23)</f>
        <v>1.4245598135602786</v>
      </c>
      <c r="L23" s="16">
        <f t="shared" si="4"/>
        <v>112.19080000700004</v>
      </c>
      <c r="M23" s="16">
        <f>_XLL.ENTROPY('data T-s chart'!$A$1,"PT",N$6,N23)</f>
        <v>1.4733457558247112</v>
      </c>
      <c r="N23" s="16">
        <f t="shared" si="5"/>
        <v>120.00850000849998</v>
      </c>
      <c r="P23" s="16">
        <f>_XLL.ENTROPY('data T-s chart'!$A$1,"Tv",Q23,Q$6)</f>
        <v>4.667848656303811</v>
      </c>
      <c r="Q23" s="16">
        <f t="shared" si="6"/>
        <v>120.00850000849998</v>
      </c>
      <c r="R23" s="16">
        <f>_XLL.ENTROPY('data T-s chart'!$A$1,"Tv",S23,S$6)</f>
        <v>1.584166174643282</v>
      </c>
      <c r="S23" s="16">
        <f t="shared" si="7"/>
        <v>120.00850000849998</v>
      </c>
      <c r="T23" s="16">
        <f>_XLL.ENTROPY('data T-s chart'!$A$1,"Tv",U23,U$6)</f>
        <v>1.5407780702619511</v>
      </c>
      <c r="U23" s="16">
        <f t="shared" si="8"/>
        <v>120.00850000849998</v>
      </c>
      <c r="V23" s="16">
        <f>_XLL.ENTROPY('data T-s chart'!$A$1,"Tv",W23,W$6)</f>
        <v>1.533820338208008</v>
      </c>
      <c r="W23" s="16">
        <f t="shared" si="9"/>
        <v>120.00850000849998</v>
      </c>
      <c r="Y23" s="16">
        <f>_XLL.ENTROPY('data T-s chart'!$A$1,"Tq",Z23,Z$5)</f>
        <v>2.5793880111968006</v>
      </c>
      <c r="Z23" s="16">
        <f t="shared" si="10"/>
        <v>56.10040000850002</v>
      </c>
      <c r="AA23" s="16">
        <f>_XLL.ENTROPY('data T-s chart'!$A$1,"Tq",AB23,AB$5)</f>
        <v>4.376800070176024</v>
      </c>
      <c r="AB23" s="16">
        <f t="shared" si="11"/>
        <v>56.10040000850002</v>
      </c>
      <c r="AC23" s="16">
        <f>_XLL.ENTROPY('data T-s chart'!$A$1,"Tq",AD23,AD$5)</f>
        <v>6.174212129155248</v>
      </c>
      <c r="AD23" s="16">
        <f t="shared" si="12"/>
        <v>56.10040000850002</v>
      </c>
      <c r="AF23" s="16">
        <f t="shared" si="15"/>
        <v>14.775630000000007</v>
      </c>
      <c r="AG23" s="16">
        <f>_XLL.ENTROPY('data T-s chart'!$A$1,"Ph",AF23,AG$6)</f>
        <v>2.644619231091488</v>
      </c>
      <c r="AH23" s="25">
        <f>_XLL.TEMPERATURE('data T-s chart'!$A$1,"Ph",AF23,AG$6)</f>
        <v>197.5815680766574</v>
      </c>
      <c r="AJ23" s="16">
        <f t="shared" si="18"/>
        <v>0.14203990605684208</v>
      </c>
      <c r="AK23" s="16">
        <f>_XLL.ENTROPY('data T-s chart'!$A$1,"Ph",AJ23,AK$6)</f>
        <v>8.037366358991424</v>
      </c>
      <c r="AL23" s="25">
        <f>_XLL.TEMPERATURE('data T-s chart'!$A$1,"Ph",AJ23,AK$6)</f>
        <v>54.731546757069054</v>
      </c>
      <c r="AN23" s="16">
        <f t="shared" si="13"/>
        <v>248.2199999999999</v>
      </c>
      <c r="AO23" s="16">
        <f>_XLL.ENTROPY('data T-s chart'!$A$1,"Ph",AN23,AO$6)</f>
        <v>5.745893062576216</v>
      </c>
      <c r="AP23" s="25">
        <f>_XLL.TEMPERATURE('data T-s chart'!$A$1,"Ph",AN23,AO$6)</f>
        <v>459.3327670860152</v>
      </c>
      <c r="AR23" s="16">
        <f t="shared" si="14"/>
        <v>248.2199999999999</v>
      </c>
      <c r="AS23" s="16">
        <f>_XLL.ENTROPY('data T-s chart'!$A$1,"Ph",AR23,AS$6)</f>
        <v>6.486090412602928</v>
      </c>
      <c r="AT23" s="25">
        <f>_XLL.TEMPERATURE('data T-s chart'!$A$1,"Ph",AR23,AS$6)</f>
        <v>636.0994146003635</v>
      </c>
    </row>
    <row r="24" spans="1:46" ht="12.75">
      <c r="A24" s="16">
        <f>_XLL.ENTROPY('data T-s chart'!$A$1,"Tq",B24,0)</f>
        <v>0.8298319400769963</v>
      </c>
      <c r="B24" s="16">
        <f t="shared" si="0"/>
        <v>59.889760008400025</v>
      </c>
      <c r="D24" s="16">
        <f>_XLL.ENTROPY('data T-s chart'!$A$1,"Tq",E24,1)</f>
        <v>7.909941535574008</v>
      </c>
      <c r="E24" s="16">
        <f t="shared" si="1"/>
        <v>59.889760008400025</v>
      </c>
      <c r="G24" s="25">
        <f>_XLL.ENTROPY('data T-s chart'!$A$1,"Tq",H24,0.6)</f>
        <v>4.936308054151454</v>
      </c>
      <c r="H24" s="16">
        <f t="shared" si="16"/>
        <v>99.60591861133764</v>
      </c>
      <c r="I24" s="25">
        <f>_XLL.ENTROPY('data T-s chart'!$A$1,"Tq",J24,0.6)</f>
        <v>4.752520818023784</v>
      </c>
      <c r="J24" s="16">
        <f t="shared" si="17"/>
        <v>263.9428711863302</v>
      </c>
      <c r="K24" s="16">
        <f>_XLL.ENTROPY('data T-s chart'!$A$1,"PT",L$6,L24)</f>
        <v>1.5050755189098188</v>
      </c>
      <c r="L24" s="16">
        <f t="shared" si="4"/>
        <v>119.66952000680004</v>
      </c>
      <c r="M24" s="16">
        <f>_XLL.ENTROPY('data T-s chart'!$A$1,"PT",N$6,N24)</f>
        <v>1.5561837637498988</v>
      </c>
      <c r="N24" s="16">
        <f t="shared" si="5"/>
        <v>128.00840000839997</v>
      </c>
      <c r="P24" s="16">
        <f>_XLL.ENTROPY('data T-s chart'!$A$1,"Tv",Q24,Q$6)</f>
        <v>5.455152455492232</v>
      </c>
      <c r="Q24" s="16">
        <f t="shared" si="6"/>
        <v>128.00840000839997</v>
      </c>
      <c r="R24" s="16">
        <f>_XLL.ENTROPY('data T-s chart'!$A$1,"Tv",S24,S$6)</f>
        <v>1.6823103474909764</v>
      </c>
      <c r="S24" s="16">
        <f t="shared" si="7"/>
        <v>128.00840000839997</v>
      </c>
      <c r="T24" s="16">
        <f>_XLL.ENTROPY('data T-s chart'!$A$1,"Tv",U24,U$6)</f>
        <v>1.6292256125450848</v>
      </c>
      <c r="U24" s="16">
        <f t="shared" si="8"/>
        <v>128.00840000839997</v>
      </c>
      <c r="V24" s="16">
        <f>_XLL.ENTROPY('data T-s chart'!$A$1,"Tv",W24,W$6)</f>
        <v>1.6207129253195274</v>
      </c>
      <c r="W24" s="16">
        <f t="shared" si="9"/>
        <v>128.00840000839997</v>
      </c>
      <c r="Y24" s="16">
        <f>_XLL.ENTROPY('data T-s chart'!$A$1,"Tq",Z24,Z$5)</f>
        <v>2.5995888304462027</v>
      </c>
      <c r="Z24" s="16">
        <f t="shared" si="10"/>
        <v>59.83976000840002</v>
      </c>
      <c r="AA24" s="16">
        <f>_XLL.ENTROPY('data T-s chart'!$A$1,"Tq",AB24,AB$5)</f>
        <v>4.369973729806837</v>
      </c>
      <c r="AB24" s="16">
        <f t="shared" si="11"/>
        <v>59.83976000840002</v>
      </c>
      <c r="AC24" s="16">
        <f>_XLL.ENTROPY('data T-s chart'!$A$1,"Tq",AD24,AD$5)</f>
        <v>6.140358629167471</v>
      </c>
      <c r="AD24" s="16">
        <f t="shared" si="12"/>
        <v>59.83976000840002</v>
      </c>
      <c r="AF24" s="16">
        <f t="shared" si="15"/>
        <v>13.348067000000007</v>
      </c>
      <c r="AG24" s="16">
        <f>_XLL.ENTROPY('data T-s chart'!$A$1,"Ph",AF24,AG$6)</f>
        <v>2.64863387728452</v>
      </c>
      <c r="AH24" s="25">
        <f>_XLL.TEMPERATURE('data T-s chart'!$A$1,"Ph",AF24,AG$6)</f>
        <v>192.83096929725593</v>
      </c>
      <c r="AJ24" s="16">
        <f t="shared" si="18"/>
        <v>0.13448885908526312</v>
      </c>
      <c r="AK24" s="16">
        <f>_XLL.ENTROPY('data T-s chart'!$A$1,"Ph",AJ24,AK$6)</f>
        <v>8.06248900714655</v>
      </c>
      <c r="AL24" s="25">
        <f>_XLL.TEMPERATURE('data T-s chart'!$A$1,"Ph",AJ24,AK$6)</f>
        <v>54.6308579923363</v>
      </c>
      <c r="AN24" s="16">
        <f t="shared" si="13"/>
        <v>220.63999999999993</v>
      </c>
      <c r="AO24" s="16">
        <f>_XLL.ENTROPY('data T-s chart'!$A$1,"Ph",AN24,AO$6)</f>
        <v>5.785002068596371</v>
      </c>
      <c r="AP24" s="25">
        <f>_XLL.TEMPERATURE('data T-s chart'!$A$1,"Ph",AN24,AO$6)</f>
        <v>446.04354406708785</v>
      </c>
      <c r="AR24" s="16">
        <f t="shared" si="14"/>
        <v>220.63999999999993</v>
      </c>
      <c r="AS24" s="16">
        <f>_XLL.ENTROPY('data T-s chart'!$A$1,"Ph",AR24,AS$6)</f>
        <v>6.535186180670888</v>
      </c>
      <c r="AT24" s="25">
        <f>_XLL.TEMPERATURE('data T-s chart'!$A$1,"Ph",AR24,AS$6)</f>
        <v>628.1962737083561</v>
      </c>
    </row>
    <row r="25" spans="1:46" ht="12.75">
      <c r="A25" s="16">
        <f>_XLL.ENTROPY('data T-s chart'!$A$1,"Tq",B25,0)</f>
        <v>0.8765430328791086</v>
      </c>
      <c r="B25" s="16">
        <f t="shared" si="0"/>
        <v>63.62912000830003</v>
      </c>
      <c r="D25" s="16">
        <f>_XLL.ENTROPY('data T-s chart'!$A$1,"Tq",E25,1)</f>
        <v>7.850839714294713</v>
      </c>
      <c r="E25" s="16">
        <f t="shared" si="1"/>
        <v>63.62912000830003</v>
      </c>
      <c r="G25" s="25">
        <f>_XLL.ENTROPY('data T-s chart'!$A$1,"Tq",H25,0.7)</f>
        <v>5.541932700880931</v>
      </c>
      <c r="H25" s="16">
        <f t="shared" si="16"/>
        <v>99.60591861133764</v>
      </c>
      <c r="I25" s="25">
        <f>_XLL.ENTROPY('data T-s chart'!$A$1,"Tq",J25,0.7)</f>
        <v>5.057816626998524</v>
      </c>
      <c r="J25" s="16">
        <f t="shared" si="17"/>
        <v>263.9428711863302</v>
      </c>
      <c r="K25" s="16">
        <f>_XLL.ENTROPY('data T-s chart'!$A$1,"PT",L$6,L25)</f>
        <v>1.5842734265258753</v>
      </c>
      <c r="L25" s="16">
        <f t="shared" si="4"/>
        <v>127.14824000660005</v>
      </c>
      <c r="M25" s="16">
        <f>_XLL.ENTROPY('data T-s chart'!$A$1,"PT",N$6,N25)</f>
        <v>1.6375576677965509</v>
      </c>
      <c r="N25" s="16">
        <f t="shared" si="5"/>
        <v>136.00830000829998</v>
      </c>
      <c r="P25" s="16">
        <f>_XLL.ENTROPY('data T-s chart'!$A$1,"Tv",Q25,Q$6)</f>
        <v>6.351311620216077</v>
      </c>
      <c r="Q25" s="16">
        <f t="shared" si="6"/>
        <v>136.00830000829998</v>
      </c>
      <c r="R25" s="16">
        <f>_XLL.ENTROPY('data T-s chart'!$A$1,"Tv",S25,S$6)</f>
        <v>1.7809997804770152</v>
      </c>
      <c r="S25" s="16">
        <f t="shared" si="7"/>
        <v>136.00830000829998</v>
      </c>
      <c r="T25" s="16">
        <f>_XLL.ENTROPY('data T-s chart'!$A$1,"Tv",U25,U$6)</f>
        <v>1.7166944674828415</v>
      </c>
      <c r="U25" s="16">
        <f t="shared" si="8"/>
        <v>136.00830000829998</v>
      </c>
      <c r="V25" s="16">
        <f>_XLL.ENTROPY('data T-s chart'!$A$1,"Tv",W25,W$6)</f>
        <v>1.70638244431801</v>
      </c>
      <c r="W25" s="16">
        <f t="shared" si="9"/>
        <v>136.00830000829998</v>
      </c>
      <c r="Y25" s="16">
        <f>_XLL.ENTROPY('data T-s chart'!$A$1,"Tq",Z25,Z$5)</f>
        <v>2.619845990091519</v>
      </c>
      <c r="Z25" s="16">
        <f t="shared" si="10"/>
        <v>63.57912000830002</v>
      </c>
      <c r="AA25" s="16">
        <f>_XLL.ENTROPY('data T-s chart'!$A$1,"Tq",AB25,AB$5)</f>
        <v>4.363770233859429</v>
      </c>
      <c r="AB25" s="16">
        <f t="shared" si="11"/>
        <v>63.57912000830002</v>
      </c>
      <c r="AC25" s="16">
        <f>_XLL.ENTROPY('data T-s chart'!$A$1,"Tq",AD25,AD$5)</f>
        <v>6.107694477627339</v>
      </c>
      <c r="AD25" s="16">
        <f t="shared" si="12"/>
        <v>63.57912000830002</v>
      </c>
      <c r="AF25" s="16">
        <f t="shared" si="15"/>
        <v>11.920504000000008</v>
      </c>
      <c r="AG25" s="16">
        <f>_XLL.ENTROPY('data T-s chart'!$A$1,"Ph",AF25,AG$6)</f>
        <v>2.653590124476289</v>
      </c>
      <c r="AH25" s="25">
        <f>_XLL.TEMPERATURE('data T-s chart'!$A$1,"Ph",AF25,AG$6)</f>
        <v>187.66453138639235</v>
      </c>
      <c r="AJ25" s="16">
        <f t="shared" si="18"/>
        <v>0.12693781211368416</v>
      </c>
      <c r="AK25" s="16">
        <f>_XLL.ENTROPY('data T-s chart'!$A$1,"Ph",AJ25,AK$6)</f>
        <v>8.089066372559252</v>
      </c>
      <c r="AL25" s="25">
        <f>_XLL.TEMPERATURE('data T-s chart'!$A$1,"Ph",AJ25,AK$6)</f>
        <v>54.530231900258855</v>
      </c>
      <c r="AN25" s="16">
        <f t="shared" si="13"/>
        <v>193.05999999999995</v>
      </c>
      <c r="AO25" s="16">
        <f>_XLL.ENTROPY('data T-s chart'!$A$1,"Ph",AN25,AO$6)</f>
        <v>5.8300699645412175</v>
      </c>
      <c r="AP25" s="25">
        <f>_XLL.TEMPERATURE('data T-s chart'!$A$1,"Ph",AN25,AO$6)</f>
        <v>431.53779256180474</v>
      </c>
      <c r="AR25" s="16">
        <f t="shared" si="14"/>
        <v>193.05999999999995</v>
      </c>
      <c r="AS25" s="16">
        <f>_XLL.ENTROPY('data T-s chart'!$A$1,"Ph",AR25,AS$6)</f>
        <v>6.59133707414338</v>
      </c>
      <c r="AT25" s="25">
        <f>_XLL.TEMPERATURE('data T-s chart'!$A$1,"Ph",AR25,AS$6)</f>
        <v>619.9639324215658</v>
      </c>
    </row>
    <row r="26" spans="1:46" ht="12.75">
      <c r="A26" s="16">
        <f>_XLL.ENTROPY('data T-s chart'!$A$1,"Tq",B26,0)</f>
        <v>0.9227586081994761</v>
      </c>
      <c r="B26" s="16">
        <f t="shared" si="0"/>
        <v>67.36848000820002</v>
      </c>
      <c r="D26" s="16">
        <f>_XLL.ENTROPY('data T-s chart'!$A$1,"Tq",E26,1)</f>
        <v>7.793421124034683</v>
      </c>
      <c r="E26" s="16">
        <f t="shared" si="1"/>
        <v>67.36848000820002</v>
      </c>
      <c r="G26" s="25">
        <f>_XLL.ENTROPY('data T-s chart'!$A$1,"Tq",H26,0.8)</f>
        <v>6.147557347610408</v>
      </c>
      <c r="H26" s="16">
        <f t="shared" si="16"/>
        <v>99.60591861133764</v>
      </c>
      <c r="I26" s="25">
        <f>_XLL.ENTROPY('data T-s chart'!$A$1,"Tq",J26,0.8)</f>
        <v>5.363112435973264</v>
      </c>
      <c r="J26" s="16">
        <f t="shared" si="17"/>
        <v>263.9428711863302</v>
      </c>
      <c r="K26" s="16">
        <f>_XLL.ENTROPY('data T-s chart'!$A$1,"PT",L$6,L26)</f>
        <v>1.6622214938382753</v>
      </c>
      <c r="L26" s="16">
        <f t="shared" si="4"/>
        <v>134.62696000640005</v>
      </c>
      <c r="M26" s="16">
        <f>_XLL.ENTROPY('data T-s chart'!$A$1,"PT",N$6,N26)</f>
        <v>1.7175368624957645</v>
      </c>
      <c r="N26" s="16">
        <f t="shared" si="5"/>
        <v>144.0082000082</v>
      </c>
      <c r="P26" s="16">
        <f>_XLL.ENTROPY('data T-s chart'!$A$1,"Tv",Q26,Q$6)</f>
        <v>6.936991802431797</v>
      </c>
      <c r="Q26" s="16">
        <f t="shared" si="6"/>
        <v>144.0082000082</v>
      </c>
      <c r="R26" s="16">
        <f>_XLL.ENTROPY('data T-s chart'!$A$1,"Tv",S26,S$6)</f>
        <v>1.8804802769742568</v>
      </c>
      <c r="S26" s="16">
        <f t="shared" si="7"/>
        <v>144.0082000082</v>
      </c>
      <c r="T26" s="16">
        <f>_XLL.ENTROPY('data T-s chart'!$A$1,"Tv",U26,U$6)</f>
        <v>1.8033001149446894</v>
      </c>
      <c r="U26" s="16">
        <f t="shared" si="8"/>
        <v>144.0082000082</v>
      </c>
      <c r="V26" s="16">
        <f>_XLL.ENTROPY('data T-s chart'!$A$1,"Tv",W26,W$6)</f>
        <v>1.790923476348957</v>
      </c>
      <c r="W26" s="16">
        <f t="shared" si="9"/>
        <v>144.0082000082</v>
      </c>
      <c r="Y26" s="16">
        <f>_XLL.ENTROPY('data T-s chart'!$A$1,"Tq",Z26,Z$5)</f>
        <v>2.6401524117689226</v>
      </c>
      <c r="Z26" s="16">
        <f t="shared" si="10"/>
        <v>67.31848000820003</v>
      </c>
      <c r="AA26" s="16">
        <f>_XLL.ENTROPY('data T-s chart'!$A$1,"Tq",AB26,AB$5)</f>
        <v>4.358160969267516</v>
      </c>
      <c r="AB26" s="16">
        <f t="shared" si="11"/>
        <v>67.31848000820003</v>
      </c>
      <c r="AC26" s="16">
        <f>_XLL.ENTROPY('data T-s chart'!$A$1,"Tq",AD26,AD$5)</f>
        <v>6.076169526766108</v>
      </c>
      <c r="AD26" s="16">
        <f t="shared" si="12"/>
        <v>67.31848000820003</v>
      </c>
      <c r="AF26" s="16">
        <f t="shared" si="15"/>
        <v>10.492941000000009</v>
      </c>
      <c r="AG26" s="16">
        <f>_XLL.ENTROPY('data T-s chart'!$A$1,"Ph",AF26,AG$6)</f>
        <v>2.6597768840743385</v>
      </c>
      <c r="AH26" s="25">
        <f>_XLL.TEMPERATURE('data T-s chart'!$A$1,"Ph",AF26,AG$6)</f>
        <v>181.98733483560932</v>
      </c>
      <c r="AJ26" s="16">
        <f t="shared" si="18"/>
        <v>0.1193867651421052</v>
      </c>
      <c r="AK26" s="16">
        <f>_XLL.ENTROPY('data T-s chart'!$A$1,"Ph",AJ26,AK$6)</f>
        <v>8.117277381217445</v>
      </c>
      <c r="AL26" s="25">
        <f>_XLL.TEMPERATURE('data T-s chart'!$A$1,"Ph",AJ26,AK$6)</f>
        <v>54.42966690948708</v>
      </c>
      <c r="AN26" s="16">
        <f t="shared" si="13"/>
        <v>165.47999999999996</v>
      </c>
      <c r="AO26" s="16">
        <f>_XLL.ENTROPY('data T-s chart'!$A$1,"Ph",AN26,AO$6)</f>
        <v>5.883290895825147</v>
      </c>
      <c r="AP26" s="25">
        <f>_XLL.TEMPERATURE('data T-s chart'!$A$1,"Ph",AN26,AO$6)</f>
        <v>415.6281433191733</v>
      </c>
      <c r="AR26" s="16">
        <f t="shared" si="14"/>
        <v>165.47999999999996</v>
      </c>
      <c r="AS26" s="16">
        <f>_XLL.ENTROPY('data T-s chart'!$A$1,"Ph",AR26,AS$6)</f>
        <v>6.656778769430582</v>
      </c>
      <c r="AT26" s="25">
        <f>_XLL.TEMPERATURE('data T-s chart'!$A$1,"Ph",AR26,AS$6)</f>
        <v>611.3843590263158</v>
      </c>
    </row>
    <row r="27" spans="1:46" ht="12.75">
      <c r="A27" s="16">
        <f>_XLL.ENTROPY('data T-s chart'!$A$1,"Tq",B27,0)</f>
        <v>0.9684926098734219</v>
      </c>
      <c r="B27" s="16">
        <f t="shared" si="0"/>
        <v>71.10784000810003</v>
      </c>
      <c r="D27" s="16">
        <f>_XLL.ENTROPY('data T-s chart'!$A$1,"Tq",E27,1)</f>
        <v>7.737616943758006</v>
      </c>
      <c r="E27" s="16">
        <f t="shared" si="1"/>
        <v>71.10784000810003</v>
      </c>
      <c r="G27" s="25">
        <f>_XLL.ENTROPY('data T-s chart'!$A$1,"Tq",H27,0.9)</f>
        <v>6.753181994339884</v>
      </c>
      <c r="H27" s="16">
        <f t="shared" si="16"/>
        <v>99.60591861133764</v>
      </c>
      <c r="I27" s="25">
        <f>_XLL.ENTROPY('data T-s chart'!$A$1,"Tq",J27,0.9)</f>
        <v>5.668408244948004</v>
      </c>
      <c r="J27" s="16">
        <f t="shared" si="17"/>
        <v>263.9428711863302</v>
      </c>
      <c r="K27" s="16">
        <f>_XLL.ENTROPY('data T-s chart'!$A$1,"PT",L$6,L27)</f>
        <v>1.7389854860327119</v>
      </c>
      <c r="L27" s="16">
        <f t="shared" si="4"/>
        <v>142.10568000620006</v>
      </c>
      <c r="M27" s="16">
        <f>_XLL.ENTROPY('data T-s chart'!$A$1,"PT",N$6,N27)</f>
        <v>1.7961881594555176</v>
      </c>
      <c r="N27" s="16">
        <f t="shared" si="5"/>
        <v>152.0081000081</v>
      </c>
      <c r="P27" s="16">
        <f>_XLL.ENTROPY('data T-s chart'!$A$1,"Tv",Q27,Q$6)</f>
        <v>6.968610518651839</v>
      </c>
      <c r="Q27" s="16">
        <f t="shared" si="6"/>
        <v>152.0081000081</v>
      </c>
      <c r="R27" s="16">
        <f>_XLL.ENTROPY('data T-s chart'!$A$1,"Tv",S27,S$6)</f>
        <v>1.9809924239635757</v>
      </c>
      <c r="S27" s="16">
        <f t="shared" si="7"/>
        <v>152.0081000081</v>
      </c>
      <c r="T27" s="16">
        <f>_XLL.ENTROPY('data T-s chart'!$A$1,"Tv",U27,U$6)</f>
        <v>1.889153858038095</v>
      </c>
      <c r="U27" s="16">
        <f t="shared" si="8"/>
        <v>152.0081000081</v>
      </c>
      <c r="V27" s="16">
        <f>_XLL.ENTROPY('data T-s chart'!$A$1,"Tv",W27,W$6)</f>
        <v>1.8744265925113064</v>
      </c>
      <c r="W27" s="16">
        <f t="shared" si="9"/>
        <v>152.0081000081</v>
      </c>
      <c r="Y27" s="16">
        <f>_XLL.ENTROPY('data T-s chart'!$A$1,"Tq",Z27,Z$5)</f>
        <v>2.660501343861074</v>
      </c>
      <c r="Z27" s="16">
        <f t="shared" si="10"/>
        <v>71.05784000810003</v>
      </c>
      <c r="AA27" s="16">
        <f>_XLL.ENTROPY('data T-s chart'!$A$1,"Tq",AB27,AB$5)</f>
        <v>4.353118482382675</v>
      </c>
      <c r="AB27" s="16">
        <f t="shared" si="11"/>
        <v>71.05784000810003</v>
      </c>
      <c r="AC27" s="16">
        <f>_XLL.ENTROPY('data T-s chart'!$A$1,"Tq",AD27,AD$5)</f>
        <v>6.045735620904276</v>
      </c>
      <c r="AD27" s="16">
        <f t="shared" si="12"/>
        <v>71.05784000810003</v>
      </c>
      <c r="AF27" s="16">
        <f t="shared" si="15"/>
        <v>9.06537800000001</v>
      </c>
      <c r="AG27" s="16">
        <f>_XLL.ENTROPY('data T-s chart'!$A$1,"Ph",AF27,AG$6)</f>
        <v>2.6676233098905113</v>
      </c>
      <c r="AH27" s="25">
        <f>_XLL.TEMPERATURE('data T-s chart'!$A$1,"Ph",AF27,AG$6)</f>
        <v>175.66565926855685</v>
      </c>
      <c r="AJ27" s="16">
        <f t="shared" si="18"/>
        <v>0.11183571817052623</v>
      </c>
      <c r="AK27" s="16">
        <f>_XLL.ENTROPY('data T-s chart'!$A$1,"Ph",AJ27,AK$6)</f>
        <v>8.147336058376801</v>
      </c>
      <c r="AL27" s="25">
        <f>_XLL.TEMPERATURE('data T-s chart'!$A$1,"Ph",AJ27,AK$6)</f>
        <v>54.32916144463388</v>
      </c>
      <c r="AN27" s="16">
        <f t="shared" si="13"/>
        <v>137.89999999999998</v>
      </c>
      <c r="AO27" s="16">
        <f>_XLL.ENTROPY('data T-s chart'!$A$1,"Ph",AN27,AO$6)</f>
        <v>5.947840855172226</v>
      </c>
      <c r="AP27" s="25">
        <f>_XLL.TEMPERATURE('data T-s chart'!$A$1,"Ph",AN27,AO$6)</f>
        <v>398.0253649281169</v>
      </c>
      <c r="AR27" s="16">
        <f t="shared" si="14"/>
        <v>137.89999999999998</v>
      </c>
      <c r="AS27" s="16">
        <f>_XLL.ENTROPY('data T-s chart'!$A$1,"Ph",AR27,AS$6)</f>
        <v>6.734984693238132</v>
      </c>
      <c r="AT27" s="25">
        <f>_XLL.TEMPERATURE('data T-s chart'!$A$1,"Ph",AR27,AS$6)</f>
        <v>602.4380167477979</v>
      </c>
    </row>
    <row r="28" spans="1:46" ht="12.75">
      <c r="A28" s="16">
        <f>_XLL.ENTROPY('data T-s chart'!$A$1,"Tq",B28,0)</f>
        <v>1.013758502844084</v>
      </c>
      <c r="B28" s="16">
        <f t="shared" si="0"/>
        <v>74.84720000800003</v>
      </c>
      <c r="D28" s="16">
        <f>_XLL.ENTROPY('data T-s chart'!$A$1,"Tq",E28,1)</f>
        <v>7.683361017218826</v>
      </c>
      <c r="E28" s="16">
        <f t="shared" si="1"/>
        <v>74.84720000800003</v>
      </c>
      <c r="G28" s="21">
        <f>_XLL.ENTROPY('data T-s chart'!$A$1,"Tq",H28,1)</f>
        <v>7.358806641069361</v>
      </c>
      <c r="H28" s="21">
        <f t="shared" si="16"/>
        <v>99.60591861133764</v>
      </c>
      <c r="I28" s="21">
        <f>_XLL.ENTROPY('data T-s chart'!$A$1,"Tq",J28,1)</f>
        <v>5.973704053922744</v>
      </c>
      <c r="J28" s="21">
        <f t="shared" si="17"/>
        <v>263.9428711863302</v>
      </c>
      <c r="K28" s="16">
        <f>_XLL.ENTROPY('data T-s chart'!$A$1,"PT",L$6,L28)</f>
        <v>1.8146294063256563</v>
      </c>
      <c r="L28" s="16">
        <f t="shared" si="4"/>
        <v>149.58440000600007</v>
      </c>
      <c r="M28" s="16">
        <f>_XLL.ENTROPY('data T-s chart'!$A$1,"PT",N$6,N28)</f>
        <v>1.8735761440564072</v>
      </c>
      <c r="N28" s="16">
        <f t="shared" si="5"/>
        <v>160.008000008</v>
      </c>
      <c r="P28" s="16">
        <f>_XLL.ENTROPY('data T-s chart'!$A$1,"Tv",Q28,Q$6)</f>
        <v>6.999138124326654</v>
      </c>
      <c r="Q28" s="16">
        <f t="shared" si="6"/>
        <v>160.008000008</v>
      </c>
      <c r="R28" s="16">
        <f>_XLL.ENTROPY('data T-s chart'!$A$1,"Tv",S28,S$6)</f>
        <v>2.0827712176281112</v>
      </c>
      <c r="S28" s="16">
        <f t="shared" si="7"/>
        <v>160.008000008</v>
      </c>
      <c r="T28" s="16">
        <f>_XLL.ENTROPY('data T-s chart'!$A$1,"Tv",U28,U$6)</f>
        <v>1.9743630949479472</v>
      </c>
      <c r="U28" s="16">
        <f t="shared" si="8"/>
        <v>160.008000008</v>
      </c>
      <c r="V28" s="16">
        <f>_XLL.ENTROPY('data T-s chart'!$A$1,"Tv",W28,W$6)</f>
        <v>1.9569787293289658</v>
      </c>
      <c r="W28" s="16">
        <f t="shared" si="9"/>
        <v>160.008000008</v>
      </c>
      <c r="Y28" s="16">
        <f>_XLL.ENTROPY('data T-s chart'!$A$1,"Tq",Z28,Z$5)</f>
        <v>2.6808863420316347</v>
      </c>
      <c r="Z28" s="16">
        <f t="shared" si="10"/>
        <v>74.79720000800003</v>
      </c>
      <c r="AA28" s="16">
        <f>_XLL.ENTROPY('data T-s chart'!$A$1,"Tq",AB28,AB$5)</f>
        <v>4.348616413351916</v>
      </c>
      <c r="AB28" s="16">
        <f t="shared" si="11"/>
        <v>74.79720000800003</v>
      </c>
      <c r="AC28" s="16">
        <f>_XLL.ENTROPY('data T-s chart'!$A$1,"Tq",AD28,AD$5)</f>
        <v>6.016346484672196</v>
      </c>
      <c r="AD28" s="16">
        <f t="shared" si="12"/>
        <v>74.79720000800003</v>
      </c>
      <c r="AF28" s="16">
        <f t="shared" si="15"/>
        <v>7.63781500000001</v>
      </c>
      <c r="AG28" s="16">
        <f>_XLL.ENTROPY('data T-s chart'!$A$1,"Ph",AF28,AG$6)</f>
        <v>2.6778021672634953</v>
      </c>
      <c r="AH28" s="25">
        <f>_XLL.TEMPERATURE('data T-s chart'!$A$1,"Ph",AF28,AG$6)</f>
        <v>168.50171785064362</v>
      </c>
      <c r="AJ28" s="16">
        <f t="shared" si="18"/>
        <v>0.10428467119894727</v>
      </c>
      <c r="AK28" s="16">
        <f>_XLL.ENTROPY('data T-s chart'!$A$1,"Ph",AJ28,AK$6)</f>
        <v>8.179501354422325</v>
      </c>
      <c r="AL28" s="25">
        <f>_XLL.TEMPERATURE('data T-s chart'!$A$1,"Ph",AJ28,AK$6)</f>
        <v>54.22871392627104</v>
      </c>
      <c r="AN28" s="16">
        <f>0.5*'data T-s chart'!$F$3</f>
        <v>110.32</v>
      </c>
      <c r="AO28" s="16">
        <f>_XLL.ENTROPY('data T-s chart'!$A$1,"Ph",AN28,AO$6)</f>
        <v>6.0292624798489785</v>
      </c>
      <c r="AP28" s="25">
        <f>_XLL.TEMPERATURE('data T-s chart'!$A$1,"Ph",AN28,AO$6)</f>
        <v>378.3448246117139</v>
      </c>
      <c r="AR28" s="16">
        <f>0.5*'data T-s chart'!$F$3</f>
        <v>110.32</v>
      </c>
      <c r="AS28" s="16">
        <f>_XLL.ENTROPY('data T-s chart'!$A$1,"Ph",AR28,AS$6)</f>
        <v>6.831783939234154</v>
      </c>
      <c r="AT28" s="25">
        <f>_XLL.TEMPERATURE('data T-s chart'!$A$1,"Ph",AR28,AS$6)</f>
        <v>593.1037003626972</v>
      </c>
    </row>
    <row r="29" spans="1:46" ht="12.75">
      <c r="A29" s="16">
        <f>_XLL.ENTROPY('data T-s chart'!$A$1,"Tq",B29,0)</f>
        <v>1.0585692978727985</v>
      </c>
      <c r="B29" s="16">
        <f t="shared" si="0"/>
        <v>78.58656000790003</v>
      </c>
      <c r="D29" s="16">
        <f>_XLL.ENTROPY('data T-s chart'!$A$1,"Tq",E29,1)</f>
        <v>7.630589706316215</v>
      </c>
      <c r="E29" s="16">
        <f t="shared" si="1"/>
        <v>78.58656000790003</v>
      </c>
      <c r="G29" s="16">
        <f>_XLL.ENTROPY('data T-s chart'!$A$1,"PT",H$6,H29)</f>
        <v>7.406603247859613</v>
      </c>
      <c r="H29" s="16">
        <f aca="true" t="shared" si="19" ref="H29:H60">H28+(H$108-H$28)/80</f>
        <v>108.36084462869593</v>
      </c>
      <c r="I29" s="16">
        <f>_XLL.ENTROPY('data T-s chart'!$A$1,"PT",J$6,J29)</f>
        <v>6.025900982707936</v>
      </c>
      <c r="J29" s="16">
        <f aca="true" t="shared" si="20" ref="J29:J60">J28+(J$108-J$28)/80</f>
        <v>270.64358529650104</v>
      </c>
      <c r="K29" s="16">
        <f>_XLL.ENTROPY('data T-s chart'!$A$1,"PT",L$6,L29)</f>
        <v>1.8892159026062483</v>
      </c>
      <c r="L29" s="16">
        <f t="shared" si="4"/>
        <v>157.06312000580007</v>
      </c>
      <c r="M29" s="16">
        <f>_XLL.ENTROPY('data T-s chart'!$A$1,"PT",N$6,N29)</f>
        <v>1.9497634931656147</v>
      </c>
      <c r="N29" s="16">
        <f t="shared" si="5"/>
        <v>168.00790000790002</v>
      </c>
      <c r="P29" s="16">
        <f>_XLL.ENTROPY('data T-s chart'!$A$1,"Tv",Q29,Q$6)</f>
        <v>7.028770633535468</v>
      </c>
      <c r="Q29" s="16">
        <f t="shared" si="6"/>
        <v>168.00790000790002</v>
      </c>
      <c r="R29" s="16">
        <f>_XLL.ENTROPY('data T-s chart'!$A$1,"Tv",S29,S$6)</f>
        <v>2.186045840099694</v>
      </c>
      <c r="S29" s="16">
        <f t="shared" si="7"/>
        <v>168.00790000790002</v>
      </c>
      <c r="T29" s="16">
        <f>_XLL.ENTROPY('data T-s chart'!$A$1,"Tv",U29,U$6)</f>
        <v>2.0590315800933965</v>
      </c>
      <c r="U29" s="16">
        <f t="shared" si="8"/>
        <v>168.00790000790002</v>
      </c>
      <c r="V29" s="16">
        <f>_XLL.ENTROPY('data T-s chart'!$A$1,"Tv",W29,W$6)</f>
        <v>2.038663527587882</v>
      </c>
      <c r="W29" s="16">
        <f t="shared" si="9"/>
        <v>168.00790000790002</v>
      </c>
      <c r="Y29" s="16">
        <f>_XLL.ENTROPY('data T-s chart'!$A$1,"Tq",Z29,Z$5)</f>
        <v>2.7013012510755576</v>
      </c>
      <c r="Z29" s="16">
        <f t="shared" si="10"/>
        <v>78.53656000790004</v>
      </c>
      <c r="AA29" s="16">
        <f>_XLL.ENTROPY('data T-s chart'!$A$1,"Tq",AB29,AB$5)</f>
        <v>4.344629435088274</v>
      </c>
      <c r="AB29" s="16">
        <f t="shared" si="11"/>
        <v>78.53656000790004</v>
      </c>
      <c r="AC29" s="16">
        <f>_XLL.ENTROPY('data T-s chart'!$A$1,"Tq",AD29,AD$5)</f>
        <v>5.987957619100991</v>
      </c>
      <c r="AD29" s="16">
        <f t="shared" si="12"/>
        <v>78.53656000790004</v>
      </c>
      <c r="AF29" s="16">
        <f t="shared" si="15"/>
        <v>6.210252000000009</v>
      </c>
      <c r="AG29" s="16">
        <f>_XLL.ENTROPY('data T-s chart'!$A$1,"Ph",AF29,AG$6)</f>
        <v>2.691446986273165</v>
      </c>
      <c r="AH29" s="25">
        <f>_XLL.TEMPERATURE('data T-s chart'!$A$1,"Ph",AF29,AG$6)</f>
        <v>160.1832400696877</v>
      </c>
      <c r="AJ29" s="16">
        <f t="shared" si="18"/>
        <v>0.09673362422736831</v>
      </c>
      <c r="AK29" s="16">
        <f>_XLL.ENTROPY('data T-s chart'!$A$1,"Ph",AJ29,AK$6)</f>
        <v>8.214090670392341</v>
      </c>
      <c r="AL29" s="25">
        <f>_XLL.TEMPERATURE('data T-s chart'!$A$1,"Ph",AJ29,AK$6)</f>
        <v>54.128322770924626</v>
      </c>
      <c r="AN29" s="16">
        <f aca="true" t="shared" si="21" ref="AN29:AN52">AN28-(AN$28-AN$53)/25</f>
        <v>105.90744484242273</v>
      </c>
      <c r="AO29" s="16">
        <f>_XLL.ENTROPY('data T-s chart'!$A$1,"Ph",AN29,AO$6)</f>
        <v>6.044443040838224</v>
      </c>
      <c r="AP29" s="25">
        <f>_XLL.TEMPERATURE('data T-s chart'!$A$1,"Ph",AN29,AO$6)</f>
        <v>374.96888517218474</v>
      </c>
      <c r="AR29" s="16">
        <f aca="true" t="shared" si="22" ref="AR29:AR52">AR28-(AR$28-AR$53)/25</f>
        <v>105.90744484242273</v>
      </c>
      <c r="AS29" s="16">
        <f>_XLL.ENTROPY('data T-s chart'!$A$1,"Ph",AR29,AS$6)</f>
        <v>6.849610005923925</v>
      </c>
      <c r="AT29" s="25">
        <f>_XLL.TEMPERATURE('data T-s chart'!$A$1,"Ph",AR29,AS$6)</f>
        <v>591.5727785205983</v>
      </c>
    </row>
    <row r="30" spans="1:46" ht="12.75">
      <c r="A30" s="16">
        <f>_XLL.ENTROPY('data T-s chart'!$A$1,"Tq",B30,0)</f>
        <v>1.102937575124905</v>
      </c>
      <c r="B30" s="16">
        <f t="shared" si="0"/>
        <v>82.32592000780004</v>
      </c>
      <c r="D30" s="16">
        <f>_XLL.ENTROPY('data T-s chart'!$A$1,"Tq",E30,1)</f>
        <v>7.579241755027429</v>
      </c>
      <c r="E30" s="16">
        <f t="shared" si="1"/>
        <v>82.32592000780004</v>
      </c>
      <c r="G30" s="16">
        <f>_XLL.ENTROPY('data T-s chart'!$A$1,"PT",H$6,H30)</f>
        <v>7.45274274438989</v>
      </c>
      <c r="H30" s="16">
        <f t="shared" si="19"/>
        <v>117.11577064605422</v>
      </c>
      <c r="I30" s="16">
        <f>_XLL.ENTROPY('data T-s chart'!$A$1,"PT",J$6,J30)</f>
        <v>6.073190398210007</v>
      </c>
      <c r="J30" s="16">
        <f t="shared" si="20"/>
        <v>277.3442994066719</v>
      </c>
      <c r="K30" s="16">
        <f>_XLL.ENTROPY('data T-s chart'!$A$1,"PT",L$6,L30)</f>
        <v>1.9628066549391037</v>
      </c>
      <c r="L30" s="16">
        <f t="shared" si="4"/>
        <v>164.54184000560008</v>
      </c>
      <c r="M30" s="16">
        <f>_XLL.ENTROPY('data T-s chart'!$A$1,"PT",N$6,N30)</f>
        <v>2.0248112559090323</v>
      </c>
      <c r="N30" s="16">
        <f t="shared" si="5"/>
        <v>176.00780000780003</v>
      </c>
      <c r="P30" s="16">
        <f>_XLL.ENTROPY('data T-s chart'!$A$1,"Tv",Q30,Q$6)</f>
        <v>7.057624147139103</v>
      </c>
      <c r="Q30" s="16">
        <f t="shared" si="6"/>
        <v>176.00780000780003</v>
      </c>
      <c r="R30" s="16">
        <f>_XLL.ENTROPY('data T-s chart'!$A$1,"Tv",S30,S$6)</f>
        <v>2.291039604783861</v>
      </c>
      <c r="S30" s="16">
        <f t="shared" si="7"/>
        <v>176.00780000780003</v>
      </c>
      <c r="T30" s="16">
        <f>_XLL.ENTROPY('data T-s chart'!$A$1,"Tv",U30,U$6)</f>
        <v>2.1432596835283024</v>
      </c>
      <c r="U30" s="16">
        <f t="shared" si="8"/>
        <v>176.00780000780003</v>
      </c>
      <c r="V30" s="16">
        <f>_XLL.ENTROPY('data T-s chart'!$A$1,"Tv",W30,W$6)</f>
        <v>2.1195616421017354</v>
      </c>
      <c r="W30" s="16">
        <f t="shared" si="9"/>
        <v>176.00780000780003</v>
      </c>
      <c r="Y30" s="16">
        <f>_XLL.ENTROPY('data T-s chart'!$A$1,"Tq",Z30,Z$5)</f>
        <v>2.7217401885651227</v>
      </c>
      <c r="Z30" s="16">
        <f t="shared" si="10"/>
        <v>82.27592000780004</v>
      </c>
      <c r="AA30" s="16">
        <f>_XLL.ENTROPY('data T-s chart'!$A$1,"Tq",AB30,AB$5)</f>
        <v>4.341133196965688</v>
      </c>
      <c r="AB30" s="16">
        <f t="shared" si="11"/>
        <v>82.27592000780004</v>
      </c>
      <c r="AC30" s="16">
        <f>_XLL.ENTROPY('data T-s chart'!$A$1,"Tq",AD30,AD$5)</f>
        <v>5.9605262053662535</v>
      </c>
      <c r="AD30" s="16">
        <f t="shared" si="12"/>
        <v>82.27592000780004</v>
      </c>
      <c r="AF30" s="16">
        <f t="shared" si="15"/>
        <v>4.782689000000009</v>
      </c>
      <c r="AG30" s="16">
        <f>_XLL.ENTROPY('data T-s chart'!$A$1,"Ph",AF30,AG$6)</f>
        <v>2.7106726568595754</v>
      </c>
      <c r="AH30" s="25">
        <f>_XLL.TEMPERATURE('data T-s chart'!$A$1,"Ph",AF30,AG$6)</f>
        <v>150.16954714345917</v>
      </c>
      <c r="AJ30" s="16">
        <f t="shared" si="18"/>
        <v>0.08918257725578935</v>
      </c>
      <c r="AK30" s="16">
        <f>_XLL.ENTROPY('data T-s chart'!$A$1,"Ph",AJ30,AK$6)</f>
        <v>8.251498891995498</v>
      </c>
      <c r="AL30" s="25">
        <f>_XLL.TEMPERATURE('data T-s chart'!$A$1,"Ph",AJ30,AK$6)</f>
        <v>54.027986391070726</v>
      </c>
      <c r="AN30" s="16">
        <f t="shared" si="21"/>
        <v>101.49488968484548</v>
      </c>
      <c r="AO30" s="16">
        <f>_XLL.ENTROPY('data T-s chart'!$A$1,"Ph",AN30,AO$6)</f>
        <v>6.060362029391246</v>
      </c>
      <c r="AP30" s="25">
        <f>_XLL.TEMPERATURE('data T-s chart'!$A$1,"Ph",AN30,AO$6)</f>
        <v>371.5228588863383</v>
      </c>
      <c r="AR30" s="16">
        <f t="shared" si="22"/>
        <v>101.49488968484548</v>
      </c>
      <c r="AS30" s="16">
        <f>_XLL.ENTROPY('data T-s chart'!$A$1,"Ph",AR30,AS$6)</f>
        <v>6.868231458805968</v>
      </c>
      <c r="AT30" s="25">
        <f>_XLL.TEMPERATURE('data T-s chart'!$A$1,"Ph",AR30,AS$6)</f>
        <v>590.0312409092187</v>
      </c>
    </row>
    <row r="31" spans="1:46" ht="12.75">
      <c r="A31" s="16">
        <f>_XLL.ENTROPY('data T-s chart'!$A$1,"Tq",B31,0)</f>
        <v>1.146875507088945</v>
      </c>
      <c r="B31" s="16">
        <f t="shared" si="0"/>
        <v>86.06528000770004</v>
      </c>
      <c r="D31" s="16">
        <f>_XLL.ENTROPY('data T-s chart'!$A$1,"Tq",E31,1)</f>
        <v>7.529258163994973</v>
      </c>
      <c r="E31" s="16">
        <f t="shared" si="1"/>
        <v>86.06528000770004</v>
      </c>
      <c r="G31" s="16">
        <f>_XLL.ENTROPY('data T-s chart'!$A$1,"PT",H$6,H31)</f>
        <v>7.497476934329829</v>
      </c>
      <c r="H31" s="16">
        <f t="shared" si="19"/>
        <v>125.8706966634125</v>
      </c>
      <c r="I31" s="16">
        <f>_XLL.ENTROPY('data T-s chart'!$A$1,"PT",J$6,J31)</f>
        <v>6.116933327829385</v>
      </c>
      <c r="J31" s="16">
        <f t="shared" si="20"/>
        <v>284.04501351684274</v>
      </c>
      <c r="K31" s="16">
        <f>_XLL.ENTROPY('data T-s chart'!$A$1,"PT",L$6,L31)</f>
        <v>2.035462750337359</v>
      </c>
      <c r="L31" s="16">
        <f t="shared" si="4"/>
        <v>172.02056000540009</v>
      </c>
      <c r="M31" s="16">
        <f>_XLL.ENTROPY('data T-s chart'!$A$1,"PT",N$6,N31)</f>
        <v>2.098779101174123</v>
      </c>
      <c r="N31" s="16">
        <f t="shared" si="5"/>
        <v>184.00770000770004</v>
      </c>
      <c r="P31" s="16">
        <f>_XLL.ENTROPY('data T-s chart'!$A$1,"Tv",Q31,Q$6)</f>
        <v>7.0857788950913205</v>
      </c>
      <c r="Q31" s="16">
        <f t="shared" si="6"/>
        <v>184.00770000770004</v>
      </c>
      <c r="R31" s="16">
        <f>_XLL.ENTROPY('data T-s chart'!$A$1,"Tv",S31,S$6)</f>
        <v>2.3979700856565676</v>
      </c>
      <c r="S31" s="16">
        <f t="shared" si="7"/>
        <v>184.00770000770004</v>
      </c>
      <c r="T31" s="16">
        <f>_XLL.ENTROPY('data T-s chart'!$A$1,"Tv",U31,U$6)</f>
        <v>2.227144657030236</v>
      </c>
      <c r="U31" s="16">
        <f t="shared" si="8"/>
        <v>184.00770000770004</v>
      </c>
      <c r="V31" s="16">
        <f>_XLL.ENTROPY('data T-s chart'!$A$1,"Tv",W31,W$6)</f>
        <v>2.1997510297370044</v>
      </c>
      <c r="W31" s="16">
        <f t="shared" si="9"/>
        <v>184.00770000770004</v>
      </c>
      <c r="Y31" s="16">
        <f>_XLL.ENTROPY('data T-s chart'!$A$1,"Tq",Z31,Z$5)</f>
        <v>2.742197530655098</v>
      </c>
      <c r="Z31" s="16">
        <f t="shared" si="10"/>
        <v>86.01528000770004</v>
      </c>
      <c r="AA31" s="16">
        <f>_XLL.ENTROPY('data T-s chart'!$A$1,"Tq",AB31,AB$5)</f>
        <v>4.338104273503107</v>
      </c>
      <c r="AB31" s="16">
        <f t="shared" si="11"/>
        <v>86.01528000770004</v>
      </c>
      <c r="AC31" s="16">
        <f>_XLL.ENTROPY('data T-s chart'!$A$1,"Tq",AD31,AD$5)</f>
        <v>5.934011016351115</v>
      </c>
      <c r="AD31" s="16">
        <f t="shared" si="12"/>
        <v>86.01528000770004</v>
      </c>
      <c r="AF31" s="16">
        <f t="shared" si="15"/>
        <v>3.355126000000009</v>
      </c>
      <c r="AG31" s="16">
        <f>_XLL.ENTROPY('data T-s chart'!$A$1,"Ph",AF31,AG$6)</f>
        <v>2.740095162806178</v>
      </c>
      <c r="AH31" s="25">
        <f>_XLL.TEMPERATURE('data T-s chart'!$A$1,"Ph",AF31,AG$6)</f>
        <v>137.38183899040803</v>
      </c>
      <c r="AJ31" s="16">
        <f t="shared" si="18"/>
        <v>0.08163153028421039</v>
      </c>
      <c r="AK31" s="16">
        <f>_XLL.ENTROPY('data T-s chart'!$A$1,"Ph",AJ31,AK$6)</f>
        <v>8.29222586498259</v>
      </c>
      <c r="AL31" s="25">
        <f>_XLL.TEMPERATURE('data T-s chart'!$A$1,"Ph",AJ31,AK$6)</f>
        <v>53.927703195131755</v>
      </c>
      <c r="AN31" s="16">
        <f t="shared" si="21"/>
        <v>97.08233452726822</v>
      </c>
      <c r="AO31" s="16">
        <f>_XLL.ENTROPY('data T-s chart'!$A$1,"Ph",AN31,AO$6)</f>
        <v>6.077088173361301</v>
      </c>
      <c r="AP31" s="25">
        <f>_XLL.TEMPERATURE('data T-s chart'!$A$1,"Ph",AN31,AO$6)</f>
        <v>368.0035704787641</v>
      </c>
      <c r="AR31" s="16">
        <f t="shared" si="22"/>
        <v>97.08233452726822</v>
      </c>
      <c r="AS31" s="16">
        <f>_XLL.ENTROPY('data T-s chart'!$A$1,"Ph",AR31,AS$6)</f>
        <v>6.887719604794979</v>
      </c>
      <c r="AT31" s="25">
        <f>_XLL.TEMPERATURE('data T-s chart'!$A$1,"Ph",AR31,AS$6)</f>
        <v>588.4789871786256</v>
      </c>
    </row>
    <row r="32" spans="1:46" ht="12.75">
      <c r="A32" s="16">
        <f>_XLL.ENTROPY('data T-s chart'!$A$1,"Tq",B32,0)</f>
        <v>1.1903948810558593</v>
      </c>
      <c r="B32" s="16">
        <f t="shared" si="0"/>
        <v>89.80464000760004</v>
      </c>
      <c r="D32" s="16">
        <f>_XLL.ENTROPY('data T-s chart'!$A$1,"Tq",E32,1)</f>
        <v>7.48058207625658</v>
      </c>
      <c r="E32" s="16">
        <f t="shared" si="1"/>
        <v>89.80464000760004</v>
      </c>
      <c r="G32" s="16">
        <f>_XLL.ENTROPY('data T-s chart'!$A$1,"PT",H$6,H32)</f>
        <v>7.540965982267251</v>
      </c>
      <c r="H32" s="16">
        <f t="shared" si="19"/>
        <v>134.6256226807708</v>
      </c>
      <c r="I32" s="16">
        <f>_XLL.ENTROPY('data T-s chart'!$A$1,"PT",J$6,J32)</f>
        <v>6.157924890708344</v>
      </c>
      <c r="J32" s="16">
        <f t="shared" si="20"/>
        <v>290.7457276270136</v>
      </c>
      <c r="K32" s="16">
        <f>_XLL.ENTROPY('data T-s chart'!$A$1,"PT",L$6,L32)</f>
        <v>2.107245052724597</v>
      </c>
      <c r="L32" s="16">
        <f t="shared" si="4"/>
        <v>179.4992800052001</v>
      </c>
      <c r="M32" s="16">
        <f>_XLL.ENTROPY('data T-s chart'!$A$1,"PT",N$6,N32)</f>
        <v>2.171725536269111</v>
      </c>
      <c r="N32" s="16">
        <f t="shared" si="5"/>
        <v>192.00760000760005</v>
      </c>
      <c r="P32" s="16">
        <f>_XLL.ENTROPY('data T-s chart'!$A$1,"Tv",Q32,Q$6)</f>
        <v>7.113296881170099</v>
      </c>
      <c r="Q32" s="16">
        <f t="shared" si="6"/>
        <v>192.00760000760005</v>
      </c>
      <c r="R32" s="16">
        <f>_XLL.ENTROPY('data T-s chart'!$A$1,"Tv",S32,S$6)</f>
        <v>2.50704944877795</v>
      </c>
      <c r="S32" s="16">
        <f t="shared" si="7"/>
        <v>192.00760000760005</v>
      </c>
      <c r="T32" s="16">
        <f>_XLL.ENTROPY('data T-s chart'!$A$1,"Tv",U32,U$6)</f>
        <v>2.310780915777338</v>
      </c>
      <c r="U32" s="16">
        <f t="shared" si="8"/>
        <v>192.00760000760005</v>
      </c>
      <c r="V32" s="16">
        <f>_XLL.ENTROPY('data T-s chart'!$A$1,"Tv",W32,W$6)</f>
        <v>2.2793072230979603</v>
      </c>
      <c r="W32" s="16">
        <f t="shared" si="9"/>
        <v>192.00760000760005</v>
      </c>
      <c r="Y32" s="16">
        <f>_XLL.ENTROPY('data T-s chart'!$A$1,"Tq",Z32,Z$5)</f>
        <v>2.762667900340129</v>
      </c>
      <c r="Z32" s="16">
        <f t="shared" si="10"/>
        <v>89.75464000760005</v>
      </c>
      <c r="AA32" s="16">
        <f>_XLL.ENTROPY('data T-s chart'!$A$1,"Tq",AB32,AB$5)</f>
        <v>4.335520118395</v>
      </c>
      <c r="AB32" s="16">
        <f t="shared" si="11"/>
        <v>89.75464000760005</v>
      </c>
      <c r="AC32" s="16">
        <f>_XLL.ENTROPY('data T-s chart'!$A$1,"Tq",AD32,AD$5)</f>
        <v>5.908372336449871</v>
      </c>
      <c r="AD32" s="16">
        <f t="shared" si="12"/>
        <v>89.75464000760005</v>
      </c>
      <c r="AF32" s="16">
        <f t="shared" si="15"/>
        <v>1.9275630000000092</v>
      </c>
      <c r="AG32" s="16">
        <f>_XLL.ENTROPY('data T-s chart'!$A$1,"Ph",AF32,AG$6)</f>
        <v>2.7930515089481203</v>
      </c>
      <c r="AH32" s="25">
        <f>_XLL.TEMPERATURE('data T-s chart'!$A$1,"Ph",AF32,AG$6)</f>
        <v>119.0491683938252</v>
      </c>
      <c r="AJ32" s="16">
        <f t="shared" si="18"/>
        <v>0.07408048331263142</v>
      </c>
      <c r="AK32" s="16">
        <f>_XLL.ENTROPY('data T-s chart'!$A$1,"Ph",AJ32,AK$6)</f>
        <v>8.336917245486799</v>
      </c>
      <c r="AL32" s="25">
        <f>_XLL.TEMPERATURE('data T-s chart'!$A$1,"Ph",AJ32,AK$6)</f>
        <v>53.82747158747162</v>
      </c>
      <c r="AN32" s="16">
        <f t="shared" si="21"/>
        <v>92.66977936969096</v>
      </c>
      <c r="AO32" s="16">
        <f>_XLL.ENTROPY('data T-s chart'!$A$1,"Ph",AN32,AO$6)</f>
        <v>6.09469996863477</v>
      </c>
      <c r="AP32" s="25">
        <f>_XLL.TEMPERATURE('data T-s chart'!$A$1,"Ph",AN32,AO$6)</f>
        <v>364.4076000510395</v>
      </c>
      <c r="AR32" s="16">
        <f t="shared" si="22"/>
        <v>92.66977936969096</v>
      </c>
      <c r="AS32" s="16">
        <f>_XLL.ENTROPY('data T-s chart'!$A$1,"Ph",AR32,AS$6)</f>
        <v>6.9081557131959315</v>
      </c>
      <c r="AT32" s="25">
        <f>_XLL.TEMPERATURE('data T-s chart'!$A$1,"Ph",AR32,AS$6)</f>
        <v>586.9159156141048</v>
      </c>
    </row>
    <row r="33" spans="1:46" ht="12.75">
      <c r="A33" s="16">
        <f>_XLL.ENTROPY('data T-s chart'!$A$1,"Tq",B33,0)</f>
        <v>1.2335071212428557</v>
      </c>
      <c r="B33" s="16">
        <f t="shared" si="0"/>
        <v>93.54400000750005</v>
      </c>
      <c r="D33" s="16">
        <f>_XLL.ENTROPY('data T-s chart'!$A$1,"Tq",E33,1)</f>
        <v>7.4331586747680305</v>
      </c>
      <c r="E33" s="16">
        <f t="shared" si="1"/>
        <v>93.54400000750005</v>
      </c>
      <c r="G33" s="16">
        <f>_XLL.ENTROPY('data T-s chart'!$A$1,"PT",H$6,H33)</f>
        <v>7.583329875562024</v>
      </c>
      <c r="H33" s="16">
        <f t="shared" si="19"/>
        <v>143.38054869812908</v>
      </c>
      <c r="I33" s="16">
        <f>_XLL.ENTROPY('data T-s chart'!$A$1,"PT",J$6,J33)</f>
        <v>6.196680612255164</v>
      </c>
      <c r="J33" s="16">
        <f t="shared" si="20"/>
        <v>297.44644173718444</v>
      </c>
      <c r="K33" s="16">
        <f>_XLL.ENTROPY('data T-s chart'!$A$1,"PT",L$6,L33)</f>
        <v>2.1782145773685118</v>
      </c>
      <c r="L33" s="16">
        <f t="shared" si="4"/>
        <v>186.9780000050001</v>
      </c>
      <c r="M33" s="16">
        <f>_XLL.ENTROPY('data T-s chart'!$A$1,"PT",N$6,N33)</f>
        <v>2.2437081013674938</v>
      </c>
      <c r="N33" s="16">
        <f t="shared" si="5"/>
        <v>200.00750000750006</v>
      </c>
      <c r="P33" s="16">
        <f>_XLL.ENTROPY('data T-s chart'!$A$1,"Tv",Q33,Q$6)</f>
        <v>7.140229324256753</v>
      </c>
      <c r="Q33" s="16">
        <f t="shared" si="6"/>
        <v>200.00750000750006</v>
      </c>
      <c r="R33" s="16">
        <f>_XLL.ENTROPY('data T-s chart'!$A$1,"Tv",S33,S$6)</f>
        <v>2.618485009851444</v>
      </c>
      <c r="S33" s="16">
        <f t="shared" si="7"/>
        <v>200.00750000750006</v>
      </c>
      <c r="T33" s="16">
        <f>_XLL.ENTROPY('data T-s chart'!$A$1,"Tv",U33,U$6)</f>
        <v>2.3942603456781377</v>
      </c>
      <c r="U33" s="16">
        <f t="shared" si="8"/>
        <v>200.00750000750006</v>
      </c>
      <c r="V33" s="16">
        <f>_XLL.ENTROPY('data T-s chart'!$A$1,"Tv",W33,W$6)</f>
        <v>2.3583035977296256</v>
      </c>
      <c r="W33" s="16">
        <f t="shared" si="9"/>
        <v>200.00750000750006</v>
      </c>
      <c r="Y33" s="16">
        <f>_XLL.ENTROPY('data T-s chart'!$A$1,"Tq",Z33,Z$5)</f>
        <v>2.783146158391363</v>
      </c>
      <c r="Z33" s="16">
        <f t="shared" si="10"/>
        <v>93.49400000750005</v>
      </c>
      <c r="AA33" s="16">
        <f>_XLL.ENTROPY('data T-s chart'!$A$1,"Tq",AB33,AB$5)</f>
        <v>4.333359024256122</v>
      </c>
      <c r="AB33" s="16">
        <f t="shared" si="11"/>
        <v>93.49400000750005</v>
      </c>
      <c r="AC33" s="16">
        <f>_XLL.ENTROPY('data T-s chart'!$A$1,"Tq",AD33,AD$5)</f>
        <v>5.883571890120881</v>
      </c>
      <c r="AD33" s="16">
        <f t="shared" si="12"/>
        <v>93.49400000750005</v>
      </c>
      <c r="AF33" s="21">
        <v>0.5</v>
      </c>
      <c r="AG33" s="26">
        <f>_XLL.ENTROPY('data T-s chart'!$A$1,"Ph",AF33,AG$6)</f>
        <v>2.9516072107422398</v>
      </c>
      <c r="AH33" s="21">
        <f>_XLL.TEMPERATURE('data T-s chart'!$A$1,"Ph",AF33,AG$6)</f>
        <v>81.3167359966414</v>
      </c>
      <c r="AJ33" s="16">
        <f t="shared" si="18"/>
        <v>0.06652943634105246</v>
      </c>
      <c r="AK33" s="16">
        <f>_XLL.ENTROPY('data T-s chart'!$A$1,"Ph",AJ33,AK$6)</f>
        <v>8.386427389638198</v>
      </c>
      <c r="AL33" s="25">
        <f>_XLL.TEMPERATURE('data T-s chart'!$A$1,"Ph",AJ33,AK$6)</f>
        <v>53.72728996839294</v>
      </c>
      <c r="AN33" s="16">
        <f t="shared" si="21"/>
        <v>88.2572242121137</v>
      </c>
      <c r="AO33" s="27">
        <f>_XLL.ENTROPY('data T-s chart'!$A$1,"Ph",AN33,AO$6)</f>
        <v>6.113287634050237</v>
      </c>
      <c r="AP33" s="27">
        <f>_XLL.TEMPERATURE('data T-s chart'!$A$1,"Ph",AN33,AO$6)</f>
        <v>360.73126386461627</v>
      </c>
      <c r="AR33" s="16">
        <f t="shared" si="22"/>
        <v>88.2572242121137</v>
      </c>
      <c r="AS33" s="27">
        <f>_XLL.ENTROPY('data T-s chart'!$A$1,"Ph",AR33,AS$6)</f>
        <v>6.9296329605618405</v>
      </c>
      <c r="AT33" s="27">
        <f>_XLL.TEMPERATURE('data T-s chart'!$A$1,"Ph",AR33,AS$6)</f>
        <v>585.3419231161968</v>
      </c>
    </row>
    <row r="34" spans="1:46" ht="12.75">
      <c r="A34" s="16">
        <f>_XLL.ENTROPY('data T-s chart'!$A$1,"Tq",B34,0)</f>
        <v>1.276223310564552</v>
      </c>
      <c r="B34" s="16">
        <f t="shared" si="0"/>
        <v>97.28336000740005</v>
      </c>
      <c r="D34" s="16">
        <f>_XLL.ENTROPY('data T-s chart'!$A$1,"Tq",E34,1)</f>
        <v>7.386935092267901</v>
      </c>
      <c r="E34" s="16">
        <f t="shared" si="1"/>
        <v>97.28336000740005</v>
      </c>
      <c r="G34" s="16">
        <f>_XLL.ENTROPY('data T-s chart'!$A$1,"PT",H$6,H34)</f>
        <v>7.624665791595271</v>
      </c>
      <c r="H34" s="16">
        <f t="shared" si="19"/>
        <v>152.13547471548736</v>
      </c>
      <c r="I34" s="16">
        <f>_XLL.ENTROPY('data T-s chart'!$A$1,"PT",J$6,J34)</f>
        <v>6.23356147310094</v>
      </c>
      <c r="J34" s="16">
        <f t="shared" si="20"/>
        <v>304.1471558473553</v>
      </c>
      <c r="K34" s="16">
        <f>_XLL.ENTROPY('data T-s chart'!$A$1,"PT",L$6,L34)</f>
        <v>2.2484328805180067</v>
      </c>
      <c r="L34" s="16">
        <f t="shared" si="4"/>
        <v>194.4567200048001</v>
      </c>
      <c r="M34" s="16">
        <f>_XLL.ENTROPY('data T-s chart'!$A$1,"PT",N$6,N34)</f>
        <v>2.3147835442315863</v>
      </c>
      <c r="N34" s="16">
        <f t="shared" si="5"/>
        <v>208.00740000740007</v>
      </c>
      <c r="P34" s="16">
        <f>_XLL.ENTROPY('data T-s chart'!$A$1,"Tv",Q34,Q$6)</f>
        <v>7.166620046814699</v>
      </c>
      <c r="Q34" s="16">
        <f t="shared" si="6"/>
        <v>208.00740000740007</v>
      </c>
      <c r="R34" s="16">
        <f>_XLL.ENTROPY('data T-s chart'!$A$1,"Tv",S34,S$6)</f>
        <v>2.732480045048866</v>
      </c>
      <c r="S34" s="16">
        <f t="shared" si="7"/>
        <v>208.00740000740007</v>
      </c>
      <c r="T34" s="16">
        <f>_XLL.ENTROPY('data T-s chart'!$A$1,"Tv",U34,U$6)</f>
        <v>2.4776726475269992</v>
      </c>
      <c r="U34" s="16">
        <f t="shared" si="8"/>
        <v>208.00740000740007</v>
      </c>
      <c r="V34" s="16">
        <f>_XLL.ENTROPY('data T-s chart'!$A$1,"Tv",W34,W$6)</f>
        <v>2.436811641437907</v>
      </c>
      <c r="W34" s="16">
        <f t="shared" si="9"/>
        <v>208.00740000740007</v>
      </c>
      <c r="Y34" s="16">
        <f>_XLL.ENTROPY('data T-s chart'!$A$1,"Tq",Z34,Z$5)</f>
        <v>2.8036273971128267</v>
      </c>
      <c r="Z34" s="16">
        <f t="shared" si="10"/>
        <v>97.23336000740005</v>
      </c>
      <c r="AA34" s="16">
        <f>_XLL.ENTROPY('data T-s chart'!$A$1,"Tq",AB34,AB$5)</f>
        <v>4.3316000883582095</v>
      </c>
      <c r="AB34" s="16">
        <f t="shared" si="11"/>
        <v>97.23336000740005</v>
      </c>
      <c r="AC34" s="16">
        <f>_XLL.ENTROPY('data T-s chart'!$A$1,"Tq",AD34,AD$5)</f>
        <v>5.859572779603592</v>
      </c>
      <c r="AD34" s="16">
        <f t="shared" si="12"/>
        <v>97.23336000740005</v>
      </c>
      <c r="AF34" s="16">
        <f aca="true" t="shared" si="23" ref="AF34:AF52">AF33-(AF$33-AF$53)/20</f>
        <v>0.47530605302842105</v>
      </c>
      <c r="AG34" s="16">
        <f>_XLL.ENTROPY('data T-s chart'!$A$1,"Ph",AF34,AG$6)</f>
        <v>2.9582595991380325</v>
      </c>
      <c r="AH34" s="25">
        <f>_XLL.TEMPERATURE('data T-s chart'!$A$1,"Ph",AF34,AG$6)</f>
        <v>80.06029759987587</v>
      </c>
      <c r="AJ34" s="16">
        <f t="shared" si="18"/>
        <v>0.058978389369473506</v>
      </c>
      <c r="AK34" s="16">
        <f>_XLL.ENTROPY('data T-s chart'!$A$1,"Ph",AJ34,AK$6)</f>
        <v>8.4419202963021</v>
      </c>
      <c r="AL34" s="25">
        <f>_XLL.TEMPERATURE('data T-s chart'!$A$1,"Ph",AJ34,AK$6)</f>
        <v>53.62715673413038</v>
      </c>
      <c r="AN34" s="16">
        <f t="shared" si="21"/>
        <v>83.84466905453644</v>
      </c>
      <c r="AO34" s="16">
        <f>_XLL.ENTROPY('data T-s chart'!$A$1,"Ph",AN34,AO$6)</f>
        <v>6.132955572584931</v>
      </c>
      <c r="AP34" s="25">
        <f>_XLL.TEMPERATURE('data T-s chart'!$A$1,"Ph",AN34,AO$6)</f>
        <v>356.97059425501357</v>
      </c>
      <c r="AR34" s="16">
        <f t="shared" si="22"/>
        <v>83.84466905453644</v>
      </c>
      <c r="AS34" s="16">
        <f>_XLL.ENTROPY('data T-s chart'!$A$1,"Ph",AR34,AS$6)</f>
        <v>6.952258874670228</v>
      </c>
      <c r="AT34" s="25">
        <f>_XLL.TEMPERATURE('data T-s chart'!$A$1,"Ph",AR34,AS$6)</f>
        <v>583.756905180588</v>
      </c>
    </row>
    <row r="35" spans="1:46" ht="12.75">
      <c r="A35" s="16">
        <f>_XLL.ENTROPY('data T-s chart'!$A$1,"Tq",B35,0)</f>
        <v>1.3185542120106388</v>
      </c>
      <c r="B35" s="16">
        <f t="shared" si="0"/>
        <v>101.02272000730005</v>
      </c>
      <c r="D35" s="16">
        <f>_XLL.ENTROPY('data T-s chart'!$A$1,"Tq",E35,1)</f>
        <v>7.341860333691337</v>
      </c>
      <c r="E35" s="16">
        <f t="shared" si="1"/>
        <v>101.02272000730005</v>
      </c>
      <c r="G35" s="16">
        <f>_XLL.ENTROPY('data T-s chart'!$A$1,"PT",H$6,H35)</f>
        <v>7.665055255783626</v>
      </c>
      <c r="H35" s="16">
        <f t="shared" si="19"/>
        <v>160.89040073284565</v>
      </c>
      <c r="I35" s="16">
        <f>_XLL.ENTROPY('data T-s chart'!$A$1,"PT",J$6,J35)</f>
        <v>6.268835378365584</v>
      </c>
      <c r="J35" s="16">
        <f t="shared" si="20"/>
        <v>310.84786995752614</v>
      </c>
      <c r="K35" s="16">
        <f>_XLL.ENTROPY('data T-s chart'!$A$1,"PT",L$6,L35)</f>
        <v>2.3179624767347553</v>
      </c>
      <c r="L35" s="16">
        <f t="shared" si="4"/>
        <v>201.9354400046001</v>
      </c>
      <c r="M35" s="16">
        <f>_XLL.ENTROPY('data T-s chart'!$A$1,"PT",N$6,N35)</f>
        <v>2.3850079793650525</v>
      </c>
      <c r="N35" s="16">
        <f t="shared" si="5"/>
        <v>216.00730000730007</v>
      </c>
      <c r="P35" s="16">
        <f>_XLL.ENTROPY('data T-s chart'!$A$1,"Tv",Q35,Q$6)</f>
        <v>7.192507253834712</v>
      </c>
      <c r="Q35" s="16">
        <f t="shared" si="6"/>
        <v>216.00730000730007</v>
      </c>
      <c r="R35" s="16">
        <f>_XLL.ENTROPY('data T-s chart'!$A$1,"Tv",S35,S$6)</f>
        <v>2.8492348794176277</v>
      </c>
      <c r="S35" s="16">
        <f t="shared" si="7"/>
        <v>216.00730000730007</v>
      </c>
      <c r="T35" s="16">
        <f>_XLL.ENTROPY('data T-s chart'!$A$1,"Tv",U35,U$6)</f>
        <v>2.561105729719427</v>
      </c>
      <c r="U35" s="16">
        <f t="shared" si="8"/>
        <v>216.00730000730007</v>
      </c>
      <c r="V35" s="16">
        <f>_XLL.ENTROPY('data T-s chart'!$A$1,"Tv",W35,W$6)</f>
        <v>2.5149012354434994</v>
      </c>
      <c r="W35" s="16">
        <f t="shared" si="9"/>
        <v>216.00730000730007</v>
      </c>
      <c r="Y35" s="16">
        <f>_XLL.ENTROPY('data T-s chart'!$A$1,"Tq",Z35,Z$5)</f>
        <v>2.8241069369405896</v>
      </c>
      <c r="Z35" s="16">
        <f t="shared" si="10"/>
        <v>100.97272000730005</v>
      </c>
      <c r="AA35" s="16">
        <f>_XLL.ENTROPY('data T-s chart'!$A$1,"Tq",AB35,AB$5)</f>
        <v>4.330223184445012</v>
      </c>
      <c r="AB35" s="16">
        <f t="shared" si="11"/>
        <v>100.97272000730005</v>
      </c>
      <c r="AC35" s="16">
        <f>_XLL.ENTROPY('data T-s chart'!$A$1,"Tq",AD35,AD$5)</f>
        <v>5.836339431949436</v>
      </c>
      <c r="AD35" s="16">
        <f t="shared" si="12"/>
        <v>100.97272000730005</v>
      </c>
      <c r="AF35" s="16">
        <f t="shared" si="23"/>
        <v>0.4506121060568421</v>
      </c>
      <c r="AG35" s="16">
        <f>_XLL.ENTROPY('data T-s chart'!$A$1,"Ph",AF35,AG$6)</f>
        <v>2.9653160884052414</v>
      </c>
      <c r="AH35" s="25">
        <f>_XLL.TEMPERATURE('data T-s chart'!$A$1,"Ph",AF35,AG$6)</f>
        <v>78.7478081327776</v>
      </c>
      <c r="AJ35" s="16">
        <f t="shared" si="18"/>
        <v>0.05142734239789455</v>
      </c>
      <c r="AK35" s="16">
        <f>_XLL.ENTROPY('data T-s chart'!$A$1,"Ph",AJ35,AK$6)</f>
        <v>8.505040086154585</v>
      </c>
      <c r="AL35" s="25">
        <f>_XLL.TEMPERATURE('data T-s chart'!$A$1,"Ph",AJ35,AK$6)</f>
        <v>53.52707027684886</v>
      </c>
      <c r="AN35" s="16">
        <f t="shared" si="21"/>
        <v>79.43211389695918</v>
      </c>
      <c r="AO35" s="16">
        <f>_XLL.ENTROPY('data T-s chart'!$A$1,"Ph",AN35,AO$6)</f>
        <v>6.153825501667124</v>
      </c>
      <c r="AP35" s="25">
        <f>_XLL.TEMPERATURE('data T-s chart'!$A$1,"Ph",AN35,AO$6)</f>
        <v>353.1213186702138</v>
      </c>
      <c r="AR35" s="16">
        <f t="shared" si="22"/>
        <v>79.43211389695918</v>
      </c>
      <c r="AS35" s="16">
        <f>_XLL.ENTROPY('data T-s chart'!$A$1,"Ph",AR35,AS$6)</f>
        <v>6.976158439709556</v>
      </c>
      <c r="AT35" s="25">
        <f>_XLL.TEMPERATURE('data T-s chart'!$A$1,"Ph",AR35,AS$6)</f>
        <v>582.1607558778666</v>
      </c>
    </row>
    <row r="36" spans="1:46" ht="12.75">
      <c r="A36" s="16">
        <f>_XLL.ENTROPY('data T-s chart'!$A$1,"Tq",B36,0)</f>
        <v>1.3605102895712284</v>
      </c>
      <c r="B36" s="16">
        <f t="shared" si="0"/>
        <v>104.76208000720005</v>
      </c>
      <c r="D36" s="16">
        <f>_XLL.ENTROPY('data T-s chart'!$A$1,"Tq",E36,1)</f>
        <v>7.297885210803303</v>
      </c>
      <c r="E36" s="16">
        <f t="shared" si="1"/>
        <v>104.76208000720005</v>
      </c>
      <c r="G36" s="16">
        <f>_XLL.ENTROPY('data T-s chart'!$A$1,"PT",H$6,H36)</f>
        <v>7.704567912974004</v>
      </c>
      <c r="H36" s="16">
        <f t="shared" si="19"/>
        <v>169.64532675020394</v>
      </c>
      <c r="I36" s="16">
        <f>_XLL.ENTROPY('data T-s chart'!$A$1,"PT",J$6,J36)</f>
        <v>6.302710052898651</v>
      </c>
      <c r="J36" s="16">
        <f t="shared" si="20"/>
        <v>317.548584067697</v>
      </c>
      <c r="K36" s="16">
        <f>_XLL.ENTROPY('data T-s chart'!$A$1,"PT",L$6,L36)</f>
        <v>2.3868672987362065</v>
      </c>
      <c r="L36" s="16">
        <f t="shared" si="4"/>
        <v>209.41416000440012</v>
      </c>
      <c r="M36" s="16">
        <f>_XLL.ENTROPY('data T-s chart'!$A$1,"PT",N$6,N36)</f>
        <v>2.454437035262912</v>
      </c>
      <c r="N36" s="16">
        <f t="shared" si="5"/>
        <v>224.00720000720008</v>
      </c>
      <c r="P36" s="16">
        <f>_XLL.ENTROPY('data T-s chart'!$A$1,"Tv",Q36,Q$6)</f>
        <v>7.217924621196832</v>
      </c>
      <c r="Q36" s="16">
        <f t="shared" si="6"/>
        <v>224.00720000720008</v>
      </c>
      <c r="R36" s="16">
        <f>_XLL.ENTROPY('data T-s chart'!$A$1,"Tv",S36,S$6)</f>
        <v>2.9689482694317695</v>
      </c>
      <c r="S36" s="16">
        <f t="shared" si="7"/>
        <v>224.00720000720008</v>
      </c>
      <c r="T36" s="16">
        <f>_XLL.ENTROPY('data T-s chart'!$A$1,"Tv",U36,U$6)</f>
        <v>2.6446461620665627</v>
      </c>
      <c r="U36" s="16">
        <f t="shared" si="8"/>
        <v>224.00720000720008</v>
      </c>
      <c r="V36" s="16">
        <f>_XLL.ENTROPY('data T-s chart'!$A$1,"Tv",W36,W$6)</f>
        <v>2.5926409592638535</v>
      </c>
      <c r="W36" s="16">
        <f t="shared" si="9"/>
        <v>224.00720000720008</v>
      </c>
      <c r="Y36" s="16">
        <f>_XLL.ENTROPY('data T-s chart'!$A$1,"Tq",Z36,Z$5)</f>
        <v>2.8445803257603304</v>
      </c>
      <c r="Z36" s="16">
        <f t="shared" si="10"/>
        <v>104.71208000720006</v>
      </c>
      <c r="AA36" s="16">
        <f>_XLL.ENTROPY('data T-s chart'!$A$1,"Tq",AB36,AB$5)</f>
        <v>4.3292089404356195</v>
      </c>
      <c r="AB36" s="16">
        <f t="shared" si="11"/>
        <v>104.71208000720006</v>
      </c>
      <c r="AC36" s="16">
        <f>_XLL.ENTROPY('data T-s chart'!$A$1,"Tq",AD36,AD$5)</f>
        <v>5.81383755511091</v>
      </c>
      <c r="AD36" s="16">
        <f t="shared" si="12"/>
        <v>104.71208000720006</v>
      </c>
      <c r="AF36" s="16">
        <f t="shared" si="23"/>
        <v>0.42591815908526315</v>
      </c>
      <c r="AG36" s="16">
        <f>_XLL.ENTROPY('data T-s chart'!$A$1,"Ph",AF36,AG$6)</f>
        <v>2.9728244729025937</v>
      </c>
      <c r="AH36" s="25">
        <f>_XLL.TEMPERATURE('data T-s chart'!$A$1,"Ph",AF36,AG$6)</f>
        <v>77.37342069662253</v>
      </c>
      <c r="AJ36" s="16">
        <f t="shared" si="18"/>
        <v>0.0438762954263156</v>
      </c>
      <c r="AK36" s="16">
        <f>_XLL.ENTROPY('data T-s chart'!$A$1,"Ph",AJ36,AK$6)</f>
        <v>8.578217822744591</v>
      </c>
      <c r="AL36" s="25">
        <f>_XLL.TEMPERATURE('data T-s chart'!$A$1,"Ph",AJ36,AK$6)</f>
        <v>53.42702898463796</v>
      </c>
      <c r="AN36" s="16">
        <f t="shared" si="21"/>
        <v>75.01955873938192</v>
      </c>
      <c r="AO36" s="16">
        <f>_XLL.ENTROPY('data T-s chart'!$A$1,"Ph",AN36,AO$6)</f>
        <v>6.176040480238527</v>
      </c>
      <c r="AP36" s="25">
        <f>_XLL.TEMPERATURE('data T-s chart'!$A$1,"Ph",AN36,AO$6)</f>
        <v>349.17883782766694</v>
      </c>
      <c r="AR36" s="16">
        <f t="shared" si="22"/>
        <v>75.01955873938192</v>
      </c>
      <c r="AS36" s="16">
        <f>_XLL.ENTROPY('data T-s chart'!$A$1,"Ph",AR36,AS$6)</f>
        <v>7.0014780897159365</v>
      </c>
      <c r="AT36" s="25">
        <f>_XLL.TEMPERATURE('data T-s chart'!$A$1,"Ph",AR36,AS$6)</f>
        <v>580.553367833135</v>
      </c>
    </row>
    <row r="37" spans="1:46" ht="12.75">
      <c r="A37" s="16">
        <f>_XLL.ENTROPY('data T-s chart'!$A$1,"Tq",B37,0)</f>
        <v>1.402101728648178</v>
      </c>
      <c r="B37" s="16">
        <f t="shared" si="0"/>
        <v>108.50144000710006</v>
      </c>
      <c r="D37" s="16">
        <f>_XLL.ENTROPY('data T-s chart'!$A$1,"Tq",E37,1)</f>
        <v>7.254962288060151</v>
      </c>
      <c r="E37" s="16">
        <f t="shared" si="1"/>
        <v>108.50144000710006</v>
      </c>
      <c r="G37" s="16">
        <f>_XLL.ENTROPY('data T-s chart'!$A$1,"PT",H$6,H37)</f>
        <v>7.743263958859424</v>
      </c>
      <c r="H37" s="16">
        <f t="shared" si="19"/>
        <v>178.40025276756222</v>
      </c>
      <c r="I37" s="16">
        <f>_XLL.ENTROPY('data T-s chart'!$A$1,"PT",J$6,J37)</f>
        <v>6.335351886148467</v>
      </c>
      <c r="J37" s="16">
        <f t="shared" si="20"/>
        <v>324.24929817786784</v>
      </c>
      <c r="K37" s="16">
        <f>_XLL.ENTROPY('data T-s chart'!$A$1,"PT",L$6,L37)</f>
        <v>2.4552132177952415</v>
      </c>
      <c r="L37" s="16">
        <f t="shared" si="4"/>
        <v>216.89288000420012</v>
      </c>
      <c r="M37" s="16">
        <f>_XLL.ENTROPY('data T-s chart'!$A$1,"PT",N$6,N37)</f>
        <v>2.5231259928357135</v>
      </c>
      <c r="N37" s="16">
        <f t="shared" si="5"/>
        <v>232.0071000071001</v>
      </c>
      <c r="P37" s="16">
        <f>_XLL.ENTROPY('data T-s chart'!$A$1,"Tv",Q37,Q$6)</f>
        <v>7.242902005028628</v>
      </c>
      <c r="Q37" s="16">
        <f t="shared" si="6"/>
        <v>232.0071000071001</v>
      </c>
      <c r="R37" s="16">
        <f>_XLL.ENTROPY('data T-s chart'!$A$1,"Tv",S37,S$6)</f>
        <v>3.091819093525542</v>
      </c>
      <c r="S37" s="16">
        <f t="shared" si="7"/>
        <v>232.0071000071001</v>
      </c>
      <c r="T37" s="16">
        <f>_XLL.ENTROPY('data T-s chart'!$A$1,"Tv",U37,U$6)</f>
        <v>2.7283797068235787</v>
      </c>
      <c r="U37" s="16">
        <f t="shared" si="8"/>
        <v>232.0071000071001</v>
      </c>
      <c r="V37" s="16">
        <f>_XLL.ENTROPY('data T-s chart'!$A$1,"Tv",W37,W$6)</f>
        <v>2.6700984358029034</v>
      </c>
      <c r="W37" s="16">
        <f t="shared" si="9"/>
        <v>232.0071000071001</v>
      </c>
      <c r="Y37" s="16">
        <f>_XLL.ENTROPY('data T-s chart'!$A$1,"Tq",Z37,Z$5)</f>
        <v>2.8650433406515434</v>
      </c>
      <c r="Z37" s="16">
        <f t="shared" si="10"/>
        <v>108.45144000710006</v>
      </c>
      <c r="AA37" s="16">
        <f>_XLL.ENTROPY('data T-s chart'!$A$1,"Tq",AB37,AB$5)</f>
        <v>4.328538721494288</v>
      </c>
      <c r="AB37" s="16">
        <f t="shared" si="11"/>
        <v>108.45144000710006</v>
      </c>
      <c r="AC37" s="16">
        <f>_XLL.ENTROPY('data T-s chart'!$A$1,"Tq",AD37,AD$5)</f>
        <v>5.792034102337032</v>
      </c>
      <c r="AD37" s="16">
        <f t="shared" si="12"/>
        <v>108.45144000710006</v>
      </c>
      <c r="AF37" s="16">
        <f t="shared" si="23"/>
        <v>0.4012242121136842</v>
      </c>
      <c r="AG37" s="16">
        <f>_XLL.ENTROPY('data T-s chart'!$A$1,"Ph",AF37,AG$6)</f>
        <v>2.9808413645109244</v>
      </c>
      <c r="AH37" s="25">
        <f>_XLL.TEMPERATURE('data T-s chart'!$A$1,"Ph",AF37,AG$6)</f>
        <v>75.9302913576123</v>
      </c>
      <c r="AJ37" s="16">
        <f t="shared" si="18"/>
        <v>0.03632524845473664</v>
      </c>
      <c r="AK37" s="16">
        <f>_XLL.ENTROPY('data T-s chart'!$A$1,"Ph",AJ37,AK$6)</f>
        <v>8.665270896187986</v>
      </c>
      <c r="AL37" s="25">
        <f>_XLL.TEMPERATURE('data T-s chart'!$A$1,"Ph",AJ37,AK$6)</f>
        <v>53.327031241508564</v>
      </c>
      <c r="AN37" s="16">
        <f t="shared" si="21"/>
        <v>70.60700358180466</v>
      </c>
      <c r="AO37" s="16">
        <f>_XLL.ENTROPY('data T-s chart'!$A$1,"Ph",AN37,AO$6)</f>
        <v>6.199770156308696</v>
      </c>
      <c r="AP37" s="25">
        <f>_XLL.TEMPERATURE('data T-s chart'!$A$1,"Ph",AN37,AO$6)</f>
        <v>345.13820298567475</v>
      </c>
      <c r="AR37" s="16">
        <f t="shared" si="22"/>
        <v>70.60700358180466</v>
      </c>
      <c r="AS37" s="16">
        <f>_XLL.ENTROPY('data T-s chart'!$A$1,"Ph",AR37,AS$6)</f>
        <v>7.0283909138081855</v>
      </c>
      <c r="AT37" s="25">
        <f>_XLL.TEMPERATURE('data T-s chart'!$A$1,"Ph",AR37,AS$6)</f>
        <v>578.934632205488</v>
      </c>
    </row>
    <row r="38" spans="1:46" ht="12.75">
      <c r="A38" s="16">
        <f>_XLL.ENTROPY('data T-s chart'!$A$1,"Tq",B38,0)</f>
        <v>1.443338455897031</v>
      </c>
      <c r="B38" s="16">
        <f t="shared" si="0"/>
        <v>112.24080000700006</v>
      </c>
      <c r="D38" s="16">
        <f>_XLL.ENTROPY('data T-s chart'!$A$1,"Tq",E38,1)</f>
        <v>7.213045838006538</v>
      </c>
      <c r="E38" s="16">
        <f t="shared" si="1"/>
        <v>112.24080000700006</v>
      </c>
      <c r="G38" s="16">
        <f>_XLL.ENTROPY('data T-s chart'!$A$1,"PT",H$6,H38)</f>
        <v>7.781195903426462</v>
      </c>
      <c r="H38" s="16">
        <f t="shared" si="19"/>
        <v>187.1551787849205</v>
      </c>
      <c r="I38" s="16">
        <f>_XLL.ENTROPY('data T-s chart'!$A$1,"PT",J$6,J38)</f>
        <v>6.366897406617698</v>
      </c>
      <c r="J38" s="16">
        <f t="shared" si="20"/>
        <v>330.9500122880387</v>
      </c>
      <c r="K38" s="16">
        <f>_XLL.ENTROPY('data T-s chart'!$A$1,"PT",L$6,L38)</f>
        <v>2.5230686473618666</v>
      </c>
      <c r="L38" s="16">
        <f t="shared" si="4"/>
        <v>224.37160000400013</v>
      </c>
      <c r="M38" s="16">
        <f>_XLL.ENTROPY('data T-s chart'!$A$1,"PT",N$6,N38)</f>
        <v>2.5911299173730176</v>
      </c>
      <c r="N38" s="16">
        <f t="shared" si="5"/>
        <v>240.0070000070001</v>
      </c>
      <c r="P38" s="16">
        <f>_XLL.ENTROPY('data T-s chart'!$A$1,"Tv",Q38,Q$6)</f>
        <v>7.26746604103801</v>
      </c>
      <c r="Q38" s="16">
        <f t="shared" si="6"/>
        <v>240.0070000070001</v>
      </c>
      <c r="R38" s="16">
        <f>_XLL.ENTROPY('data T-s chart'!$A$1,"Tv",S38,S$6)</f>
        <v>3.2180483835208125</v>
      </c>
      <c r="S38" s="16">
        <f t="shared" si="7"/>
        <v>240.0070000070001</v>
      </c>
      <c r="T38" s="16">
        <f>_XLL.ENTROPY('data T-s chart'!$A$1,"Tv",U38,U$6)</f>
        <v>2.8123919530509154</v>
      </c>
      <c r="U38" s="16">
        <f t="shared" si="8"/>
        <v>240.0070000070001</v>
      </c>
      <c r="V38" s="16">
        <f>_XLL.ENTROPY('data T-s chart'!$A$1,"Tv",W38,W$6)</f>
        <v>2.7473407416782654</v>
      </c>
      <c r="W38" s="16">
        <f t="shared" si="9"/>
        <v>240.0070000070001</v>
      </c>
      <c r="Y38" s="16">
        <f>_XLL.ENTROPY('data T-s chart'!$A$1,"Tq",Z38,Z$5)</f>
        <v>2.885491991595814</v>
      </c>
      <c r="Z38" s="16">
        <f t="shared" si="10"/>
        <v>112.19080000700006</v>
      </c>
      <c r="AA38" s="16">
        <f>_XLL.ENTROPY('data T-s chart'!$A$1,"Tq",AB38,AB$5)</f>
        <v>4.328194617597125</v>
      </c>
      <c r="AB38" s="16">
        <f t="shared" si="11"/>
        <v>112.19080000700006</v>
      </c>
      <c r="AC38" s="16">
        <f>_XLL.ENTROPY('data T-s chart'!$A$1,"Tq",AD38,AD$5)</f>
        <v>5.770897243598435</v>
      </c>
      <c r="AD38" s="16">
        <f t="shared" si="12"/>
        <v>112.19080000700006</v>
      </c>
      <c r="AF38" s="16">
        <f t="shared" si="23"/>
        <v>0.37653026514210525</v>
      </c>
      <c r="AG38" s="16">
        <f>_XLL.ENTROPY('data T-s chart'!$A$1,"Ph",AF38,AG$6)</f>
        <v>2.989434481233216</v>
      </c>
      <c r="AH38" s="25">
        <f>_XLL.TEMPERATURE('data T-s chart'!$A$1,"Ph",AF38,AG$6)</f>
        <v>74.41033486053698</v>
      </c>
      <c r="AJ38" s="16">
        <f t="shared" si="18"/>
        <v>0.028774201483157683</v>
      </c>
      <c r="AK38" s="16">
        <f>_XLL.ENTROPY('data T-s chart'!$A$1,"Ph",AJ38,AK$6)</f>
        <v>8.772710455331532</v>
      </c>
      <c r="AL38" s="25">
        <f>_XLL.TEMPERATURE('data T-s chart'!$A$1,"Ph",AJ38,AK$6)</f>
        <v>53.227075427387945</v>
      </c>
      <c r="AN38" s="16">
        <f t="shared" si="21"/>
        <v>66.1944484242274</v>
      </c>
      <c r="AO38" s="16">
        <f>_XLL.ENTROPY('data T-s chart'!$A$1,"Ph",AN38,AO$6)</f>
        <v>6.225217704444711</v>
      </c>
      <c r="AP38" s="25">
        <f>_XLL.TEMPERATURE('data T-s chart'!$A$1,"Ph",AN38,AO$6)</f>
        <v>340.9940923262782</v>
      </c>
      <c r="AR38" s="16">
        <f t="shared" si="22"/>
        <v>66.1944484242274</v>
      </c>
      <c r="AS38" s="16">
        <f>_XLL.ENTROPY('data T-s chart'!$A$1,"Ph",AR38,AS$6)</f>
        <v>7.057103543208475</v>
      </c>
      <c r="AT38" s="25">
        <f>_XLL.TEMPERATURE('data T-s chart'!$A$1,"Ph",AR38,AS$6)</f>
        <v>577.304438667354</v>
      </c>
    </row>
    <row r="39" spans="1:46" ht="12.75">
      <c r="A39" s="16">
        <f>_XLL.ENTROPY('data T-s chart'!$A$1,"Tq",B39,0)</f>
        <v>1.4842301584555062</v>
      </c>
      <c r="B39" s="16">
        <f t="shared" si="0"/>
        <v>115.98016000690006</v>
      </c>
      <c r="D39" s="16">
        <f>_XLL.ENTROPY('data T-s chart'!$A$1,"Tq",E39,1)</f>
        <v>7.172091803864127</v>
      </c>
      <c r="E39" s="16">
        <f t="shared" si="1"/>
        <v>115.98016000690006</v>
      </c>
      <c r="G39" s="16">
        <f>_XLL.ENTROPY('data T-s chart'!$A$1,"PT",H$6,H39)</f>
        <v>7.818409924729707</v>
      </c>
      <c r="H39" s="16">
        <f t="shared" si="19"/>
        <v>195.9101048022788</v>
      </c>
      <c r="I39" s="16">
        <f>_XLL.ENTROPY('data T-s chart'!$A$1,"PT",J$6,J39)</f>
        <v>6.397460673617685</v>
      </c>
      <c r="J39" s="16">
        <f t="shared" si="20"/>
        <v>337.65072639820954</v>
      </c>
      <c r="K39" s="16">
        <f>_XLL.ENTROPY('data T-s chart'!$A$1,"PT",L$6,L39)</f>
        <v>2.5905052593473066</v>
      </c>
      <c r="L39" s="16">
        <f t="shared" si="4"/>
        <v>231.85032000380014</v>
      </c>
      <c r="M39" s="16">
        <f>_XLL.ENTROPY('data T-s chart'!$A$1,"PT",N$6,N39)</f>
        <v>2.658503785537302</v>
      </c>
      <c r="N39" s="16">
        <f t="shared" si="5"/>
        <v>248.0069000069001</v>
      </c>
      <c r="P39" s="16">
        <f>_XLL.ENTROPY('data T-s chart'!$A$1,"Tv",Q39,Q$6)</f>
        <v>7.291640563878698</v>
      </c>
      <c r="Q39" s="16">
        <f t="shared" si="6"/>
        <v>248.0069000069001</v>
      </c>
      <c r="R39" s="16">
        <f>_XLL.ENTROPY('data T-s chart'!$A$1,"Tv",S39,S$6)</f>
        <v>3.3478417883929206</v>
      </c>
      <c r="S39" s="16">
        <f t="shared" si="7"/>
        <v>248.0069000069001</v>
      </c>
      <c r="T39" s="16">
        <f>_XLL.ENTROPY('data T-s chart'!$A$1,"Tv",U39,U$6)</f>
        <v>2.896769100093756</v>
      </c>
      <c r="U39" s="16">
        <f t="shared" si="8"/>
        <v>248.0069000069001</v>
      </c>
      <c r="V39" s="16">
        <f>_XLL.ENTROPY('data T-s chart'!$A$1,"Tv",W39,W$6)</f>
        <v>2.8244349212493853</v>
      </c>
      <c r="W39" s="16">
        <f t="shared" si="9"/>
        <v>248.0069000069001</v>
      </c>
      <c r="Y39" s="16">
        <f>_XLL.ENTROPY('data T-s chart'!$A$1,"Tq",Z39,Z$5)</f>
        <v>2.905922526532149</v>
      </c>
      <c r="Z39" s="16">
        <f t="shared" si="10"/>
        <v>115.93016000690007</v>
      </c>
      <c r="AA39" s="16">
        <f>_XLL.ENTROPY('data T-s chart'!$A$1,"Tq",AB39,AB$5)</f>
        <v>4.32815943440581</v>
      </c>
      <c r="AB39" s="16">
        <f t="shared" si="11"/>
        <v>115.93016000690007</v>
      </c>
      <c r="AC39" s="16">
        <f>_XLL.ENTROPY('data T-s chart'!$A$1,"Tq",AD39,AD$5)</f>
        <v>5.750396342279471</v>
      </c>
      <c r="AD39" s="16">
        <f t="shared" si="12"/>
        <v>115.93016000690007</v>
      </c>
      <c r="AF39" s="16">
        <f t="shared" si="23"/>
        <v>0.3518363181705263</v>
      </c>
      <c r="AG39" s="16">
        <f>_XLL.ENTROPY('data T-s chart'!$A$1,"Ph",AF39,AG$6)</f>
        <v>2.9986857254594534</v>
      </c>
      <c r="AH39" s="25">
        <f>_XLL.TEMPERATURE('data T-s chart'!$A$1,"Ph",AF39,AG$6)</f>
        <v>72.80389983093744</v>
      </c>
      <c r="AJ39" s="16">
        <f t="shared" si="18"/>
        <v>0.021223154511578725</v>
      </c>
      <c r="AK39" s="16">
        <f>_XLL.ENTROPY('data T-s chart'!$A$1,"Ph",AJ39,AK$6)</f>
        <v>8.913081005347678</v>
      </c>
      <c r="AL39" s="25">
        <f>_XLL.TEMPERATURE('data T-s chart'!$A$1,"Ph",AJ39,AK$6)</f>
        <v>53.12715991811581</v>
      </c>
      <c r="AN39" s="16">
        <f t="shared" si="21"/>
        <v>61.781893266650144</v>
      </c>
      <c r="AO39" s="16">
        <f>_XLL.ENTROPY('data T-s chart'!$A$1,"Ph",AN39,AO$6)</f>
        <v>6.252629148777854</v>
      </c>
      <c r="AP39" s="25">
        <f>_XLL.TEMPERATURE('data T-s chart'!$A$1,"Ph",AN39,AO$6)</f>
        <v>336.7407864479525</v>
      </c>
      <c r="AR39" s="16">
        <f t="shared" si="22"/>
        <v>61.781893266650144</v>
      </c>
      <c r="AS39" s="16">
        <f>_XLL.ENTROPY('data T-s chart'!$A$1,"Ph",AR39,AS$6)</f>
        <v>7.087865417491716</v>
      </c>
      <c r="AT39" s="25">
        <f>_XLL.TEMPERATURE('data T-s chart'!$A$1,"Ph",AR39,AS$6)</f>
        <v>575.662675383705</v>
      </c>
    </row>
    <row r="40" spans="1:46" ht="12.75">
      <c r="A40" s="16">
        <f>_XLL.ENTROPY('data T-s chart'!$A$1,"Tq",B40,0)</f>
        <v>1.5247863025277697</v>
      </c>
      <c r="B40" s="16">
        <f t="shared" si="0"/>
        <v>119.71952000680007</v>
      </c>
      <c r="D40" s="16">
        <f>_XLL.ENTROPY('data T-s chart'!$A$1,"Tq",E40,1)</f>
        <v>7.1320577664568425</v>
      </c>
      <c r="E40" s="16">
        <f t="shared" si="1"/>
        <v>119.71952000680007</v>
      </c>
      <c r="G40" s="16">
        <f>_XLL.ENTROPY('data T-s chart'!$A$1,"PT",H$6,H40)</f>
        <v>7.854946936250654</v>
      </c>
      <c r="H40" s="16">
        <f t="shared" si="19"/>
        <v>204.66503081963708</v>
      </c>
      <c r="I40" s="16">
        <f>_XLL.ENTROPY('data T-s chart'!$A$1,"PT",J$6,J40)</f>
        <v>6.427138287674681</v>
      </c>
      <c r="J40" s="16">
        <f t="shared" si="20"/>
        <v>344.3514405083804</v>
      </c>
      <c r="K40" s="16">
        <f>_XLL.ENTROPY('data T-s chart'!$A$1,"PT",L$6,L40)</f>
        <v>2.6575988526679573</v>
      </c>
      <c r="L40" s="16">
        <f t="shared" si="4"/>
        <v>239.32904000360014</v>
      </c>
      <c r="M40" s="16">
        <f>_XLL.ENTROPY('data T-s chart'!$A$1,"PT",N$6,N40)</f>
        <v>2.7253026077634894</v>
      </c>
      <c r="N40" s="16">
        <f t="shared" si="5"/>
        <v>256.0068000068001</v>
      </c>
      <c r="P40" s="16">
        <f>_XLL.ENTROPY('data T-s chart'!$A$1,"Tv",Q40,Q$6)</f>
        <v>7.31544701626187</v>
      </c>
      <c r="Q40" s="16">
        <f t="shared" si="6"/>
        <v>256.0068000068001</v>
      </c>
      <c r="R40" s="16">
        <f>_XLL.ENTROPY('data T-s chart'!$A$1,"Tv",S40,S$6)</f>
        <v>3.4814126706838997</v>
      </c>
      <c r="S40" s="16">
        <f t="shared" si="7"/>
        <v>256.0068000068001</v>
      </c>
      <c r="T40" s="16">
        <f>_XLL.ENTROPY('data T-s chart'!$A$1,"Tv",U40,U$6)</f>
        <v>2.981598966251436</v>
      </c>
      <c r="U40" s="16">
        <f t="shared" si="8"/>
        <v>256.0068000068001</v>
      </c>
      <c r="V40" s="16">
        <f>_XLL.ENTROPY('data T-s chart'!$A$1,"Tv",W40,W$6)</f>
        <v>2.9014486604955994</v>
      </c>
      <c r="W40" s="16">
        <f t="shared" si="9"/>
        <v>256.0068000068001</v>
      </c>
      <c r="Y40" s="16">
        <f>_XLL.ENTROPY('data T-s chart'!$A$1,"Tq",Z40,Z$5)</f>
        <v>2.9263314370236473</v>
      </c>
      <c r="Z40" s="16">
        <f t="shared" si="10"/>
        <v>119.66952000680007</v>
      </c>
      <c r="AA40" s="16">
        <f>_XLL.ENTROPY('data T-s chart'!$A$1,"Tq",AB40,AB$5)</f>
        <v>4.328416686007916</v>
      </c>
      <c r="AB40" s="16">
        <f t="shared" si="11"/>
        <v>119.66952000680007</v>
      </c>
      <c r="AC40" s="16">
        <f>_XLL.ENTROPY('data T-s chart'!$A$1,"Tq",AD40,AD$5)</f>
        <v>5.730501934992185</v>
      </c>
      <c r="AD40" s="16">
        <f t="shared" si="12"/>
        <v>119.66952000680007</v>
      </c>
      <c r="AF40" s="16">
        <f t="shared" si="23"/>
        <v>0.32714237119894735</v>
      </c>
      <c r="AG40" s="16">
        <f>_XLL.ENTROPY('data T-s chart'!$A$1,"Ph",AF40,AG$6)</f>
        <v>3.0086954018652707</v>
      </c>
      <c r="AH40" s="25">
        <f>_XLL.TEMPERATURE('data T-s chart'!$A$1,"Ph",AF40,AG$6)</f>
        <v>71.09932912948801</v>
      </c>
      <c r="AJ40" s="16">
        <f t="shared" si="18"/>
        <v>0.013672107539999766</v>
      </c>
      <c r="AK40" s="16">
        <f>_XLL.ENTROPY('data T-s chart'!$A$1,"Ph",AJ40,AK$6)</f>
        <v>9.115918646817201</v>
      </c>
      <c r="AL40" s="25">
        <f>_XLL.TEMPERATURE('data T-s chart'!$A$1,"Ph",AJ40,AK$6)</f>
        <v>53.02728308544067</v>
      </c>
      <c r="AN40" s="16">
        <f t="shared" si="21"/>
        <v>57.369338109072885</v>
      </c>
      <c r="AO40" s="16">
        <f>_XLL.ENTROPY('data T-s chart'!$A$1,"Ph",AN40,AO$6)</f>
        <v>6.282306127509771</v>
      </c>
      <c r="AP40" s="25">
        <f>_XLL.TEMPERATURE('data T-s chart'!$A$1,"Ph",AN40,AO$6)</f>
        <v>332.3721429675694</v>
      </c>
      <c r="AR40" s="16">
        <f t="shared" si="22"/>
        <v>57.369338109072885</v>
      </c>
      <c r="AS40" s="16">
        <f>_XLL.ENTROPY('data T-s chart'!$A$1,"Ph",AR40,AS$6)</f>
        <v>7.12098149017453</v>
      </c>
      <c r="AT40" s="25">
        <f>_XLL.TEMPERATURE('data T-s chart'!$A$1,"Ph",AR40,AS$6)</f>
        <v>574.0092289911297</v>
      </c>
    </row>
    <row r="41" spans="1:46" ht="12.75">
      <c r="A41" s="16">
        <f>_XLL.ENTROPY('data T-s chart'!$A$1,"Tq",B41,0)</f>
        <v>1.5650161513076764</v>
      </c>
      <c r="B41" s="16">
        <f aca="true" t="shared" si="24" ref="B41:B72">B40+$B$6</f>
        <v>123.45888000670007</v>
      </c>
      <c r="D41" s="16">
        <f>_XLL.ENTROPY('data T-s chart'!$A$1,"Tq",E41,1)</f>
        <v>7.092902912317317</v>
      </c>
      <c r="E41" s="16">
        <f aca="true" t="shared" si="25" ref="E41:E72">E40+$B$6</f>
        <v>123.45888000670007</v>
      </c>
      <c r="G41" s="16">
        <f>_XLL.ENTROPY('data T-s chart'!$A$1,"PT",H$6,H41)</f>
        <v>7.890843440282463</v>
      </c>
      <c r="H41" s="16">
        <f t="shared" si="19"/>
        <v>213.41995683699537</v>
      </c>
      <c r="I41" s="16">
        <f>_XLL.ENTROPY('data T-s chart'!$A$1,"PT",J$6,J41)</f>
        <v>6.4560129403417</v>
      </c>
      <c r="J41" s="16">
        <f t="shared" si="20"/>
        <v>351.05215461855124</v>
      </c>
      <c r="K41" s="16">
        <f>_XLL.ENTROPY('data T-s chart'!$A$1,"PT",L$6,L41)</f>
        <v>2.724430429174166</v>
      </c>
      <c r="L41" s="16">
        <f aca="true" t="shared" si="26" ref="L41:L57">L40+(L$58-L$8)/50</f>
        <v>246.80776000340015</v>
      </c>
      <c r="M41" s="16">
        <f>_XLL.ENTROPY('data T-s chart'!$A$1,"PT",N$6,N41)</f>
        <v>2.7915815449585963</v>
      </c>
      <c r="N41" s="16">
        <f aca="true" t="shared" si="27" ref="N41:N72">N40+(N$108-N$8)/100</f>
        <v>264.0067000067001</v>
      </c>
      <c r="P41" s="16">
        <f>_XLL.ENTROPY('data T-s chart'!$A$1,"Tv",Q41,Q$6)</f>
        <v>7.338904749870829</v>
      </c>
      <c r="Q41" s="16">
        <f aca="true" t="shared" si="28" ref="Q41:Q72">Q40+(Q$108-Q$8)/100</f>
        <v>264.0067000067001</v>
      </c>
      <c r="R41" s="16">
        <f>_XLL.ENTROPY('data T-s chart'!$A$1,"Tv",S41,S$6)</f>
        <v>3.6189861914924473</v>
      </c>
      <c r="S41" s="16">
        <f aca="true" t="shared" si="29" ref="S41:S72">S40+(S$108-S$8)/100</f>
        <v>264.0067000067001</v>
      </c>
      <c r="T41" s="16">
        <f>_XLL.ENTROPY('data T-s chart'!$A$1,"Tv",U41,U$6)</f>
        <v>3.0669723362451204</v>
      </c>
      <c r="U41" s="16">
        <f aca="true" t="shared" si="30" ref="U41:U72">U40+(U$108-U$8)/100</f>
        <v>264.0067000067001</v>
      </c>
      <c r="V41" s="16">
        <f>_XLL.ENTROPY('data T-s chart'!$A$1,"Tv",W41,W$6)</f>
        <v>2.978451195493747</v>
      </c>
      <c r="W41" s="16">
        <f aca="true" t="shared" si="31" ref="W41:W72">W40+(W$108-W$8)/100</f>
        <v>264.0067000067001</v>
      </c>
      <c r="Y41" s="16">
        <f>_XLL.ENTROPY('data T-s chart'!$A$1,"Tq",Z41,Z$5)</f>
        <v>2.9467154637345816</v>
      </c>
      <c r="Z41" s="16">
        <f aca="true" t="shared" si="32" ref="Z41:Z72">Z40+Z$6</f>
        <v>123.40888000670007</v>
      </c>
      <c r="AA41" s="16">
        <f>_XLL.ENTROPY('data T-s chart'!$A$1,"Tq",AB41,AB$5)</f>
        <v>4.328950587938957</v>
      </c>
      <c r="AB41" s="16">
        <f aca="true" t="shared" si="33" ref="AB41:AB72">AB40+AB$6</f>
        <v>123.40888000670007</v>
      </c>
      <c r="AC41" s="16">
        <f>_XLL.ENTROPY('data T-s chart'!$A$1,"Tq",AD41,AD$5)</f>
        <v>5.711185712143332</v>
      </c>
      <c r="AD41" s="16">
        <f aca="true" t="shared" si="34" ref="AD41:AD72">AD40+AD$6</f>
        <v>123.40888000670007</v>
      </c>
      <c r="AF41" s="16">
        <f t="shared" si="23"/>
        <v>0.3024484242273684</v>
      </c>
      <c r="AG41" s="16">
        <f>_XLL.ENTROPY('data T-s chart'!$A$1,"Ph",AF41,AG$6)</f>
        <v>3.0195881198343297</v>
      </c>
      <c r="AH41" s="25">
        <f>_XLL.TEMPERATURE('data T-s chart'!$A$1,"Ph",AF41,AG$6)</f>
        <v>69.282352526806</v>
      </c>
      <c r="AJ41" s="16">
        <f>AI4</f>
        <v>0.006121060568420839</v>
      </c>
      <c r="AK41" s="16">
        <f>_XLL.ENTROPY('data T-s chart'!$A$1,"Ph",AJ41,AK$6)</f>
        <v>9.486700354239039</v>
      </c>
      <c r="AL41" s="25">
        <f>_XLL.TEMPERATURE('data T-s chart'!$A$1,"Ph",AJ41,AK$6)</f>
        <v>52.92744329701492</v>
      </c>
      <c r="AN41" s="16">
        <f t="shared" si="21"/>
        <v>52.956782951495626</v>
      </c>
      <c r="AO41" s="16">
        <f>_XLL.ENTROPY('data T-s chart'!$A$1,"Ph",AN41,AO$6)</f>
        <v>6.314623746707743</v>
      </c>
      <c r="AP41" s="25">
        <f>_XLL.TEMPERATURE('data T-s chart'!$A$1,"Ph",AN41,AO$6)</f>
        <v>327.88157023211636</v>
      </c>
      <c r="AR41" s="16">
        <f t="shared" si="22"/>
        <v>52.956782951495626</v>
      </c>
      <c r="AS41" s="16">
        <f>_XLL.ENTROPY('data T-s chart'!$A$1,"Ph",AR41,AS$6)</f>
        <v>7.15683002936914</v>
      </c>
      <c r="AT41" s="25">
        <f>_XLL.TEMPERATURE('data T-s chart'!$A$1,"Ph",AR41,AS$6)</f>
        <v>572.3439845767821</v>
      </c>
    </row>
    <row r="42" spans="1:46" ht="12.75">
      <c r="A42" s="16">
        <f>_XLL.ENTROPY('data T-s chart'!$A$1,"Tq",B42,0)</f>
        <v>1.6049287822374314</v>
      </c>
      <c r="B42" s="16">
        <f t="shared" si="24"/>
        <v>127.19824000660007</v>
      </c>
      <c r="D42" s="16">
        <f>_XLL.ENTROPY('data T-s chart'!$A$1,"Tq",E42,1)</f>
        <v>7.05458799978074</v>
      </c>
      <c r="E42" s="16">
        <f t="shared" si="25"/>
        <v>127.19824000660007</v>
      </c>
      <c r="G42" s="16">
        <f>_XLL.ENTROPY('data T-s chart'!$A$1,"PT",H$6,H42)</f>
        <v>7.926132216371123</v>
      </c>
      <c r="H42" s="16">
        <f t="shared" si="19"/>
        <v>222.17488285435365</v>
      </c>
      <c r="I42" s="16">
        <f>_XLL.ENTROPY('data T-s chart'!$A$1,"PT",J$6,J42)</f>
        <v>6.484156024400841</v>
      </c>
      <c r="J42" s="16">
        <f t="shared" si="20"/>
        <v>357.7528687287221</v>
      </c>
      <c r="K42" s="16">
        <f>_XLL.ENTROPY('data T-s chart'!$A$1,"PT",L$6,L42)</f>
        <v>2.791087556182831</v>
      </c>
      <c r="L42" s="16">
        <f t="shared" si="26"/>
        <v>254.28648000320015</v>
      </c>
      <c r="M42" s="16">
        <f>_XLL.ENTROPY('data T-s chart'!$A$1,"PT",N$6,N42)</f>
        <v>2.8573960163698344</v>
      </c>
      <c r="N42" s="16">
        <f t="shared" si="27"/>
        <v>272.0066000066001</v>
      </c>
      <c r="P42" s="16">
        <f>_XLL.ENTROPY('data T-s chart'!$A$1,"Tv",Q42,Q$6)</f>
        <v>7.362031283400109</v>
      </c>
      <c r="Q42" s="16">
        <f t="shared" si="28"/>
        <v>272.0066000066001</v>
      </c>
      <c r="R42" s="16">
        <f>_XLL.ENTROPY('data T-s chart'!$A$1,"Tv",S42,S$6)</f>
        <v>3.7608049145944493</v>
      </c>
      <c r="S42" s="16">
        <f t="shared" si="29"/>
        <v>272.0066000066001</v>
      </c>
      <c r="T42" s="16">
        <f>_XLL.ENTROPY('data T-s chart'!$A$1,"Tv",U42,U$6)</f>
        <v>3.1529847944634555</v>
      </c>
      <c r="U42" s="16">
        <f t="shared" si="30"/>
        <v>272.0066000066001</v>
      </c>
      <c r="V42" s="16">
        <f>_XLL.ENTROPY('data T-s chart'!$A$1,"Tv",W42,W$6)</f>
        <v>3.055514540964972</v>
      </c>
      <c r="W42" s="16">
        <f t="shared" si="31"/>
        <v>272.0066000066001</v>
      </c>
      <c r="Y42" s="16">
        <f>_XLL.ENTROPY('data T-s chart'!$A$1,"Tq",Z42,Z$5)</f>
        <v>2.9670716009163285</v>
      </c>
      <c r="Z42" s="16">
        <f t="shared" si="32"/>
        <v>127.14824000660008</v>
      </c>
      <c r="AA42" s="16">
        <f>_XLL.ENTROPY('data T-s chart'!$A$1,"Tq",AB42,AB$5)</f>
        <v>4.3297460488866975</v>
      </c>
      <c r="AB42" s="16">
        <f t="shared" si="33"/>
        <v>127.14824000660008</v>
      </c>
      <c r="AC42" s="16">
        <f>_XLL.ENTROPY('data T-s chart'!$A$1,"Tq",AD42,AD$5)</f>
        <v>5.692420496857067</v>
      </c>
      <c r="AD42" s="16">
        <f t="shared" si="34"/>
        <v>127.14824000660008</v>
      </c>
      <c r="AF42" s="16">
        <f t="shared" si="23"/>
        <v>0.27775447725578944</v>
      </c>
      <c r="AG42" s="16">
        <f>_XLL.ENTROPY('data T-s chart'!$A$1,"Ph",AF42,AG$6)</f>
        <v>3.0315212547921586</v>
      </c>
      <c r="AH42" s="25">
        <f>_XLL.TEMPERATURE('data T-s chart'!$A$1,"Ph",AF42,AG$6)</f>
        <v>67.33522797782598</v>
      </c>
      <c r="AL42" s="25"/>
      <c r="AN42" s="16">
        <f t="shared" si="21"/>
        <v>48.54422779391837</v>
      </c>
      <c r="AO42" s="16">
        <f>_XLL.ENTROPY('data T-s chart'!$A$1,"Ph",AN42,AO$6)</f>
        <v>6.350056176600661</v>
      </c>
      <c r="AP42" s="25">
        <f>_XLL.TEMPERATURE('data T-s chart'!$A$1,"Ph",AN42,AO$6)</f>
        <v>323.26200014160247</v>
      </c>
      <c r="AR42" s="16">
        <f t="shared" si="22"/>
        <v>48.54422779391837</v>
      </c>
      <c r="AS42" s="16">
        <f>_XLL.ENTROPY('data T-s chart'!$A$1,"Ph",AR42,AS$6)</f>
        <v>7.195888180925803</v>
      </c>
      <c r="AT42" s="25">
        <f>_XLL.TEMPERATURE('data T-s chart'!$A$1,"Ph",AR42,AS$6)</f>
        <v>570.6668256571946</v>
      </c>
    </row>
    <row r="43" spans="1:46" ht="12.75">
      <c r="A43" s="16">
        <f>_XLL.ENTROPY('data T-s chart'!$A$1,"Tq",B43,0)</f>
        <v>1.644533103610428</v>
      </c>
      <c r="B43" s="16">
        <f t="shared" si="24"/>
        <v>130.93760000650008</v>
      </c>
      <c r="D43" s="16">
        <f>_XLL.ENTROPY('data T-s chart'!$A$1,"Tq",E43,1)</f>
        <v>7.017075320115316</v>
      </c>
      <c r="E43" s="16">
        <f t="shared" si="25"/>
        <v>130.93760000650008</v>
      </c>
      <c r="G43" s="16">
        <f>_XLL.ENTROPY('data T-s chart'!$A$1,"PT",H$6,H43)</f>
        <v>7.96084288058589</v>
      </c>
      <c r="H43" s="16">
        <f t="shared" si="19"/>
        <v>230.92980887171194</v>
      </c>
      <c r="I43" s="16">
        <f>_XLL.ENTROPY('data T-s chart'!$A$1,"PT",J$6,J43)</f>
        <v>6.511629612748524</v>
      </c>
      <c r="J43" s="16">
        <f t="shared" si="20"/>
        <v>364.45358283889294</v>
      </c>
      <c r="K43" s="16">
        <f>_XLL.ENTROPY('data T-s chart'!$A$1,"PT",L$6,L43)</f>
        <v>2.8576661325193506</v>
      </c>
      <c r="L43" s="16">
        <f t="shared" si="26"/>
        <v>261.76520000300013</v>
      </c>
      <c r="M43" s="16">
        <f>_XLL.ENTROPY('data T-s chart'!$A$1,"PT",N$6,N43)</f>
        <v>2.922801792660333</v>
      </c>
      <c r="N43" s="16">
        <f t="shared" si="27"/>
        <v>280.00650000650006</v>
      </c>
      <c r="P43" s="16">
        <f>_XLL.ENTROPY('data T-s chart'!$A$1,"Tv",Q43,Q$6)</f>
        <v>7.384842551929674</v>
      </c>
      <c r="Q43" s="16">
        <f t="shared" si="28"/>
        <v>280.00650000650006</v>
      </c>
      <c r="R43" s="16">
        <f>_XLL.ENTROPY('data T-s chart'!$A$1,"Tv",S43,S$6)</f>
        <v>3.9071365937435507</v>
      </c>
      <c r="S43" s="16">
        <f t="shared" si="29"/>
        <v>280.00650000650006</v>
      </c>
      <c r="T43" s="16">
        <f>_XLL.ENTROPY('data T-s chart'!$A$1,"Tv",U43,U$6)</f>
        <v>3.2397391947722864</v>
      </c>
      <c r="U43" s="16">
        <f t="shared" si="30"/>
        <v>280.00650000650006</v>
      </c>
      <c r="V43" s="16">
        <f>_XLL.ENTROPY('data T-s chart'!$A$1,"Tv",W43,W$6)</f>
        <v>3.132715107369687</v>
      </c>
      <c r="W43" s="16">
        <f t="shared" si="31"/>
        <v>280.00650000650006</v>
      </c>
      <c r="Y43" s="16">
        <f>_XLL.ENTROPY('data T-s chart'!$A$1,"Tq",Z43,Z$5)</f>
        <v>2.987397099169554</v>
      </c>
      <c r="Z43" s="16">
        <f t="shared" si="32"/>
        <v>130.88760000650007</v>
      </c>
      <c r="AA43" s="16">
        <f>_XLL.ENTROPY('data T-s chart'!$A$1,"Tq",AB43,AB$5)</f>
        <v>4.330788659604053</v>
      </c>
      <c r="AB43" s="16">
        <f t="shared" si="33"/>
        <v>130.88760000650007</v>
      </c>
      <c r="AC43" s="16">
        <f>_XLL.ENTROPY('data T-s chart'!$A$1,"Tq",AD43,AD$5)</f>
        <v>5.674180220038551</v>
      </c>
      <c r="AD43" s="16">
        <f t="shared" si="34"/>
        <v>130.88760000650007</v>
      </c>
      <c r="AF43" s="16">
        <f t="shared" si="23"/>
        <v>0.2530605302842105</v>
      </c>
      <c r="AG43" s="16">
        <f>_XLL.ENTROPY('data T-s chart'!$A$1,"Ph",AF43,AG$6)</f>
        <v>3.0446974211858833</v>
      </c>
      <c r="AH43" s="25">
        <f>_XLL.TEMPERATURE('data T-s chart'!$A$1,"Ph",AF43,AG$6)</f>
        <v>65.23549425266651</v>
      </c>
      <c r="AL43" s="25"/>
      <c r="AN43" s="16">
        <f t="shared" si="21"/>
        <v>44.13167263634111</v>
      </c>
      <c r="AO43" s="16">
        <f>_XLL.ENTROPY('data T-s chart'!$A$1,"Ph",AN43,AO$6)</f>
        <v>6.389214419736558</v>
      </c>
      <c r="AP43" s="25">
        <f>_XLL.TEMPERATURE('data T-s chart'!$A$1,"Ph",AN43,AO$6)</f>
        <v>318.50586008545736</v>
      </c>
      <c r="AR43" s="16">
        <f t="shared" si="22"/>
        <v>44.13167263634111</v>
      </c>
      <c r="AS43" s="16">
        <f>_XLL.ENTROPY('data T-s chart'!$A$1,"Ph",AR43,AS$6)</f>
        <v>7.2387697478250566</v>
      </c>
      <c r="AT43" s="25">
        <f>_XLL.TEMPERATURE('data T-s chart'!$A$1,"Ph",AR43,AS$6)</f>
        <v>568.97763415697</v>
      </c>
    </row>
    <row r="44" spans="1:46" ht="12.75">
      <c r="A44" s="16">
        <f>_XLL.ENTROPY('data T-s chart'!$A$1,"Tq",B44,0)</f>
        <v>1.6838378705378276</v>
      </c>
      <c r="B44" s="16">
        <f t="shared" si="24"/>
        <v>134.67696000640007</v>
      </c>
      <c r="D44" s="16">
        <f>_XLL.ENTROPY('data T-s chart'!$A$1,"Tq",E44,1)</f>
        <v>6.980328651250119</v>
      </c>
      <c r="E44" s="16">
        <f t="shared" si="25"/>
        <v>134.67696000640007</v>
      </c>
      <c r="G44" s="16">
        <f>_XLL.ENTROPY('data T-s chart'!$A$1,"PT",H$6,H44)</f>
        <v>7.995002342679746</v>
      </c>
      <c r="H44" s="16">
        <f t="shared" si="19"/>
        <v>239.68473488907023</v>
      </c>
      <c r="I44" s="16">
        <f>_XLL.ENTROPY('data T-s chart'!$A$1,"PT",J$6,J44)</f>
        <v>6.538487996534826</v>
      </c>
      <c r="J44" s="16">
        <f t="shared" si="20"/>
        <v>371.1542969490638</v>
      </c>
      <c r="K44" s="16">
        <f>_XLL.ENTROPY('data T-s chart'!$A$1,"PT",L$6,L44)</f>
        <v>2.9242727339386496</v>
      </c>
      <c r="L44" s="16">
        <f t="shared" si="26"/>
        <v>269.2439200028001</v>
      </c>
      <c r="M44" s="16">
        <f>_XLL.ENTROPY('data T-s chart'!$A$1,"PT",N$6,N44)</f>
        <v>2.98785506423304</v>
      </c>
      <c r="N44" s="16">
        <f t="shared" si="27"/>
        <v>288.00640000640004</v>
      </c>
      <c r="P44" s="16">
        <f>_XLL.ENTROPY('data T-s chart'!$A$1,"Tv",Q44,Q$6)</f>
        <v>7.407353102623047</v>
      </c>
      <c r="Q44" s="16">
        <f t="shared" si="28"/>
        <v>288.00640000640004</v>
      </c>
      <c r="R44" s="16">
        <f>_XLL.ENTROPY('data T-s chart'!$A$1,"Tv",S44,S$6)</f>
        <v>4.058284834921729</v>
      </c>
      <c r="S44" s="16">
        <f t="shared" si="29"/>
        <v>288.00640000640004</v>
      </c>
      <c r="T44" s="16">
        <f>_XLL.ENTROPY('data T-s chart'!$A$1,"Tv",U44,U$6)</f>
        <v>3.327348853490264</v>
      </c>
      <c r="U44" s="16">
        <f t="shared" si="30"/>
        <v>288.00640000640004</v>
      </c>
      <c r="V44" s="16">
        <f>_XLL.ENTROPY('data T-s chart'!$A$1,"Tv",W44,W$6)</f>
        <v>3.2101356961075607</v>
      </c>
      <c r="W44" s="16">
        <f t="shared" si="31"/>
        <v>288.00640000640004</v>
      </c>
      <c r="Y44" s="16">
        <f>_XLL.ENTROPY('data T-s chart'!$A$1,"Tq",Z44,Z$5)</f>
        <v>3.0076894658853903</v>
      </c>
      <c r="Z44" s="16">
        <f t="shared" si="32"/>
        <v>134.62696000640005</v>
      </c>
      <c r="AA44" s="16">
        <f>_XLL.ENTROPY('data T-s chart'!$A$1,"Tq",AB44,AB$5)</f>
        <v>4.332064677816513</v>
      </c>
      <c r="AB44" s="16">
        <f t="shared" si="33"/>
        <v>134.62696000640005</v>
      </c>
      <c r="AC44" s="16">
        <f>_XLL.ENTROPY('data T-s chart'!$A$1,"Tq",AD44,AD$5)</f>
        <v>5.6564398897476345</v>
      </c>
      <c r="AD44" s="16">
        <f t="shared" si="34"/>
        <v>134.62696000640005</v>
      </c>
      <c r="AF44" s="16">
        <f t="shared" si="23"/>
        <v>0.22836658331263154</v>
      </c>
      <c r="AG44" s="16">
        <f>_XLL.ENTROPY('data T-s chart'!$A$1,"Ph",AF44,AG$6)</f>
        <v>3.0593834702690694</v>
      </c>
      <c r="AH44" s="25">
        <f>_XLL.TEMPERATURE('data T-s chart'!$A$1,"Ph",AF44,AG$6)</f>
        <v>62.95410089525478</v>
      </c>
      <c r="AL44" s="25"/>
      <c r="AN44" s="16">
        <f t="shared" si="21"/>
        <v>39.71911747876385</v>
      </c>
      <c r="AO44" s="16">
        <f>_XLL.ENTROPY('data T-s chart'!$A$1,"Ph",AN44,AO$6)</f>
        <v>6.432867837847468</v>
      </c>
      <c r="AP44" s="25">
        <f>_XLL.TEMPERATURE('data T-s chart'!$A$1,"Ph",AN44,AO$6)</f>
        <v>313.5971724798251</v>
      </c>
      <c r="AR44" s="16">
        <f t="shared" si="22"/>
        <v>39.71911747876385</v>
      </c>
      <c r="AS44" s="16">
        <f>_XLL.ENTROPY('data T-s chart'!$A$1,"Ph",AR44,AS$6)</f>
        <v>7.286267252357036</v>
      </c>
      <c r="AT44" s="25">
        <f>_XLL.TEMPERATURE('data T-s chart'!$A$1,"Ph",AR44,AS$6)</f>
        <v>567.2705332842056</v>
      </c>
    </row>
    <row r="45" spans="1:46" ht="12.75">
      <c r="A45" s="16">
        <f>_XLL.ENTROPY('data T-s chart'!$A$1,"Tq",B45,0)</f>
        <v>1.7228517003078878</v>
      </c>
      <c r="B45" s="16">
        <f t="shared" si="24"/>
        <v>138.41632000630005</v>
      </c>
      <c r="D45" s="16">
        <f>_XLL.ENTROPY('data T-s chart'!$A$1,"Tq",E45,1)</f>
        <v>6.944313202397395</v>
      </c>
      <c r="E45" s="16">
        <f t="shared" si="25"/>
        <v>138.41632000630005</v>
      </c>
      <c r="G45" s="16">
        <f>_XLL.ENTROPY('data T-s chart'!$A$1,"PT",H$6,H45)</f>
        <v>8.028635181980599</v>
      </c>
      <c r="H45" s="16">
        <f t="shared" si="19"/>
        <v>248.43966090642851</v>
      </c>
      <c r="I45" s="16">
        <f>_XLL.ENTROPY('data T-s chart'!$A$1,"PT",J$6,J45)</f>
        <v>6.564778905266956</v>
      </c>
      <c r="J45" s="16">
        <f t="shared" si="20"/>
        <v>377.85501105923464</v>
      </c>
      <c r="K45" s="16">
        <f>_XLL.ENTROPY('data T-s chart'!$A$1,"PT",L$6,L45)</f>
        <v>2.9910278054846486</v>
      </c>
      <c r="L45" s="16">
        <f t="shared" si="26"/>
        <v>276.7226400026001</v>
      </c>
      <c r="M45" s="16">
        <f>_XLL.ENTROPY('data T-s chart'!$A$1,"PT",N$6,N45)</f>
        <v>3.0526124691578715</v>
      </c>
      <c r="N45" s="16">
        <f t="shared" si="27"/>
        <v>296.0063000063</v>
      </c>
      <c r="P45" s="16">
        <f>_XLL.ENTROPY('data T-s chart'!$A$1,"Tv",Q45,Q$6)</f>
        <v>7.42957624242391</v>
      </c>
      <c r="Q45" s="16">
        <f t="shared" si="28"/>
        <v>296.0063000063</v>
      </c>
      <c r="R45" s="16">
        <f>_XLL.ENTROPY('data T-s chart'!$A$1,"Tv",S45,S$6)</f>
        <v>4.2146033144071176</v>
      </c>
      <c r="S45" s="16">
        <f t="shared" si="29"/>
        <v>296.0063000063</v>
      </c>
      <c r="T45" s="16">
        <f>_XLL.ENTROPY('data T-s chart'!$A$1,"Tv",U45,U$6)</f>
        <v>3.4159414066198304</v>
      </c>
      <c r="U45" s="16">
        <f t="shared" si="30"/>
        <v>296.0063000063</v>
      </c>
      <c r="V45" s="16">
        <f>_XLL.ENTROPY('data T-s chart'!$A$1,"Tv",W45,W$6)</f>
        <v>3.2878676952809682</v>
      </c>
      <c r="W45" s="16">
        <f t="shared" si="31"/>
        <v>296.0063000063</v>
      </c>
      <c r="Y45" s="16">
        <f>_XLL.ENTROPY('data T-s chart'!$A$1,"Tq",Z45,Z$5)</f>
        <v>3.027946462958724</v>
      </c>
      <c r="Z45" s="16">
        <f t="shared" si="32"/>
        <v>138.36632000630004</v>
      </c>
      <c r="AA45" s="16">
        <f>_XLL.ENTROPY('data T-s chart'!$A$1,"Tq",AB45,AB$5)</f>
        <v>4.333561008281503</v>
      </c>
      <c r="AB45" s="16">
        <f t="shared" si="33"/>
        <v>138.36632000630004</v>
      </c>
      <c r="AC45" s="16">
        <f>_XLL.ENTROPY('data T-s chart'!$A$1,"Tq",AD45,AD$5)</f>
        <v>5.639175553604283</v>
      </c>
      <c r="AD45" s="16">
        <f t="shared" si="34"/>
        <v>138.36632000630004</v>
      </c>
      <c r="AF45" s="16">
        <f t="shared" si="23"/>
        <v>0.2036726363410526</v>
      </c>
      <c r="AG45" s="16">
        <f>_XLL.ENTROPY('data T-s chart'!$A$1,"Ph",AF45,AG$6)</f>
        <v>3.07594057253405</v>
      </c>
      <c r="AH45" s="25">
        <f>_XLL.TEMPERATURE('data T-s chart'!$A$1,"Ph",AF45,AG$6)</f>
        <v>60.45249745309059</v>
      </c>
      <c r="AL45" s="25"/>
      <c r="AN45" s="16">
        <f t="shared" si="21"/>
        <v>35.30656232118659</v>
      </c>
      <c r="AO45" s="16">
        <f>_XLL.ENTROPY('data T-s chart'!$A$1,"Ph",AN45,AO$6)</f>
        <v>6.482142874769506</v>
      </c>
      <c r="AP45" s="25">
        <f>_XLL.TEMPERATURE('data T-s chart'!$A$1,"Ph",AN45,AO$6)</f>
        <v>308.53455340915934</v>
      </c>
      <c r="AR45" s="16">
        <f t="shared" si="22"/>
        <v>35.30656232118659</v>
      </c>
      <c r="AS45" s="16">
        <f>_XLL.ENTROPY('data T-s chart'!$A$1,"Ph",AR45,AS$6)</f>
        <v>7.339495093638192</v>
      </c>
      <c r="AT45" s="25">
        <f>_XLL.TEMPERATURE('data T-s chart'!$A$1,"Ph",AR45,AS$6)</f>
        <v>565.5526612316253</v>
      </c>
    </row>
    <row r="46" spans="1:46" ht="12.75">
      <c r="A46" s="16">
        <f>_XLL.ENTROPY('data T-s chart'!$A$1,"Tq",B46,0)</f>
        <v>1.761583087175174</v>
      </c>
      <c r="B46" s="16">
        <f t="shared" si="24"/>
        <v>142.15568000620004</v>
      </c>
      <c r="D46" s="16">
        <f>_XLL.ENTROPY('data T-s chart'!$A$1,"Tq",E46,1)</f>
        <v>6.908995548756376</v>
      </c>
      <c r="E46" s="16">
        <f t="shared" si="25"/>
        <v>142.15568000620004</v>
      </c>
      <c r="G46" s="16">
        <f>_XLL.ENTROPY('data T-s chart'!$A$1,"PT",H$6,H46)</f>
        <v>8.061763958227575</v>
      </c>
      <c r="H46" s="16">
        <f t="shared" si="19"/>
        <v>257.1945869237868</v>
      </c>
      <c r="I46" s="16">
        <f>_XLL.ENTROPY('data T-s chart'!$A$1,"PT",J$6,J46)</f>
        <v>6.590544490862525</v>
      </c>
      <c r="J46" s="16">
        <f t="shared" si="20"/>
        <v>384.5557251694055</v>
      </c>
      <c r="K46" s="16">
        <f>_XLL.ENTROPY('data T-s chart'!$A$1,"PT",L$6,L46)</f>
        <v>3.058070109827186</v>
      </c>
      <c r="L46" s="16">
        <f t="shared" si="26"/>
        <v>284.20136000240007</v>
      </c>
      <c r="M46" s="16">
        <f>_XLL.ENTROPY('data T-s chart'!$A$1,"PT",N$6,N46)</f>
        <v>3.117131056954819</v>
      </c>
      <c r="N46" s="16">
        <f t="shared" si="27"/>
        <v>304.0062000062</v>
      </c>
      <c r="P46" s="16">
        <f>_XLL.ENTROPY('data T-s chart'!$A$1,"Tv",Q46,Q$6)</f>
        <v>7.4515242124291134</v>
      </c>
      <c r="Q46" s="16">
        <f t="shared" si="28"/>
        <v>304.0062000062</v>
      </c>
      <c r="R46" s="16">
        <f>_XLL.ENTROPY('data T-s chart'!$A$1,"Tv",S46,S$6)</f>
        <v>4.376514659016269</v>
      </c>
      <c r="S46" s="16">
        <f t="shared" si="29"/>
        <v>304.0062000062</v>
      </c>
      <c r="T46" s="16">
        <f>_XLL.ENTROPY('data T-s chart'!$A$1,"Tv",U46,U$6)</f>
        <v>3.5056631837519405</v>
      </c>
      <c r="U46" s="16">
        <f t="shared" si="30"/>
        <v>304.0062000062</v>
      </c>
      <c r="V46" s="16">
        <f>_XLL.ENTROPY('data T-s chart'!$A$1,"Tv",W46,W$6)</f>
        <v>3.3660131273582015</v>
      </c>
      <c r="W46" s="16">
        <f t="shared" si="31"/>
        <v>304.0062000062</v>
      </c>
      <c r="Y46" s="16">
        <f>_XLL.ENTROPY('data T-s chart'!$A$1,"Tq",Z46,Z$5)</f>
        <v>3.0481661015950268</v>
      </c>
      <c r="Z46" s="16">
        <f t="shared" si="32"/>
        <v>142.10568000620003</v>
      </c>
      <c r="AA46" s="16">
        <f>_XLL.ENTROPY('data T-s chart'!$A$1,"Tq",AB46,AB$5)</f>
        <v>4.33526517760549</v>
      </c>
      <c r="AB46" s="16">
        <f t="shared" si="33"/>
        <v>142.10568000620003</v>
      </c>
      <c r="AC46" s="16">
        <f>_XLL.ENTROPY('data T-s chart'!$A$1,"Tq",AD46,AD$5)</f>
        <v>5.622364253615952</v>
      </c>
      <c r="AD46" s="16">
        <f t="shared" si="34"/>
        <v>142.10568000620003</v>
      </c>
      <c r="AF46" s="16">
        <f t="shared" si="23"/>
        <v>0.17897868936947364</v>
      </c>
      <c r="AG46" s="16">
        <f>_XLL.ENTROPY('data T-s chart'!$A$1,"Ph",AF46,AG$6)</f>
        <v>3.0948741444105887</v>
      </c>
      <c r="AH46" s="25">
        <f>_XLL.TEMPERATURE('data T-s chart'!$A$1,"Ph",AF46,AG$6)</f>
        <v>57.67789240498723</v>
      </c>
      <c r="AL46" s="25"/>
      <c r="AN46" s="16">
        <f t="shared" si="21"/>
        <v>30.894007163609327</v>
      </c>
      <c r="AO46" s="16">
        <f>_XLL.ENTROPY('data T-s chart'!$A$1,"Ph",AN46,AO$6)</f>
        <v>6.538550424077442</v>
      </c>
      <c r="AP46" s="25">
        <f>_XLL.TEMPERATURE('data T-s chart'!$A$1,"Ph",AN46,AO$6)</f>
        <v>303.30416919932236</v>
      </c>
      <c r="AR46" s="16">
        <f t="shared" si="22"/>
        <v>30.894007163609327</v>
      </c>
      <c r="AS46" s="16">
        <f>_XLL.ENTROPY('data T-s chart'!$A$1,"Ph",AR46,AS$6)</f>
        <v>7.399978500028443</v>
      </c>
      <c r="AT46" s="25">
        <f>_XLL.TEMPERATURE('data T-s chart'!$A$1,"Ph",AR46,AS$6)</f>
        <v>563.8205217971492</v>
      </c>
    </row>
    <row r="47" spans="1:46" ht="12.75">
      <c r="A47" s="16">
        <f>_XLL.ENTROPY('data T-s chart'!$A$1,"Tq",B47,0)</f>
        <v>1.800040416623535</v>
      </c>
      <c r="B47" s="16">
        <f t="shared" si="24"/>
        <v>145.89504000610003</v>
      </c>
      <c r="D47" s="16">
        <f>_XLL.ENTROPY('data T-s chart'!$A$1,"Tq",E47,1)</f>
        <v>6.874343556440859</v>
      </c>
      <c r="E47" s="16">
        <f t="shared" si="25"/>
        <v>145.89504000610003</v>
      </c>
      <c r="G47" s="16">
        <f>_XLL.ENTROPY('data T-s chart'!$A$1,"PT",H$6,H47)</f>
        <v>8.09440947005546</v>
      </c>
      <c r="H47" s="16">
        <f t="shared" si="19"/>
        <v>265.9495129411451</v>
      </c>
      <c r="I47" s="16">
        <f>_XLL.ENTROPY('data T-s chart'!$A$1,"PT",J$6,J47)</f>
        <v>6.615822132251621</v>
      </c>
      <c r="J47" s="16">
        <f t="shared" si="20"/>
        <v>391.25643927957634</v>
      </c>
      <c r="K47" s="16">
        <f>_XLL.ENTROPY('data T-s chart'!$A$1,"PT",L$6,L47)</f>
        <v>3.1255630591965664</v>
      </c>
      <c r="L47" s="16">
        <f t="shared" si="26"/>
        <v>291.68008000220004</v>
      </c>
      <c r="M47" s="16">
        <f>_XLL.ENTROPY('data T-s chart'!$A$1,"PT",N$6,N47)</f>
        <v>3.181468152936674</v>
      </c>
      <c r="N47" s="16">
        <f t="shared" si="27"/>
        <v>312.0061000061</v>
      </c>
      <c r="P47" s="16">
        <f>_XLL.ENTROPY('data T-s chart'!$A$1,"Tv",Q47,Q$6)</f>
        <v>7.473208280438042</v>
      </c>
      <c r="Q47" s="16">
        <f t="shared" si="28"/>
        <v>312.0061000061</v>
      </c>
      <c r="R47" s="16">
        <f>_XLL.ENTROPY('data T-s chart'!$A$1,"Tv",S47,S$6)</f>
        <v>4.544537051242221</v>
      </c>
      <c r="S47" s="16">
        <f t="shared" si="29"/>
        <v>312.0061000061</v>
      </c>
      <c r="T47" s="16">
        <f>_XLL.ENTROPY('data T-s chart'!$A$1,"Tv",U47,U$6)</f>
        <v>3.5966844529518305</v>
      </c>
      <c r="U47" s="16">
        <f t="shared" si="30"/>
        <v>312.0061000061</v>
      </c>
      <c r="V47" s="16">
        <f>_XLL.ENTROPY('data T-s chart'!$A$1,"Tv",W47,W$6)</f>
        <v>3.4446864687214793</v>
      </c>
      <c r="W47" s="16">
        <f t="shared" si="31"/>
        <v>312.0061000061</v>
      </c>
      <c r="Y47" s="16">
        <f>_XLL.ENTROPY('data T-s chart'!$A$1,"Tq",Z47,Z$5)</f>
        <v>3.068346634275937</v>
      </c>
      <c r="Z47" s="16">
        <f t="shared" si="32"/>
        <v>145.84504000610002</v>
      </c>
      <c r="AA47" s="16">
        <f>_XLL.ENTROPY('data T-s chart'!$A$1,"Tq",AB47,AB$5)</f>
        <v>4.3371653039054365</v>
      </c>
      <c r="AB47" s="16">
        <f t="shared" si="33"/>
        <v>145.84504000610002</v>
      </c>
      <c r="AC47" s="16">
        <f>_XLL.ENTROPY('data T-s chart'!$A$1,"Tq",AD47,AD$5)</f>
        <v>5.6059839735349355</v>
      </c>
      <c r="AD47" s="16">
        <f t="shared" si="34"/>
        <v>145.84504000610002</v>
      </c>
      <c r="AF47" s="16">
        <f t="shared" si="23"/>
        <v>0.1542847423978947</v>
      </c>
      <c r="AG47" s="16">
        <f>_XLL.ENTROPY('data T-s chart'!$A$1,"Ph",AF47,AG$6)</f>
        <v>3.116921664392384</v>
      </c>
      <c r="AH47" s="25">
        <f>_XLL.TEMPERATURE('data T-s chart'!$A$1,"Ph",AF47,AG$6)</f>
        <v>54.55508542935331</v>
      </c>
      <c r="AL47" s="25"/>
      <c r="AN47" s="16">
        <f t="shared" si="21"/>
        <v>26.481452006032065</v>
      </c>
      <c r="AO47" s="16">
        <f>_XLL.ENTROPY('data T-s chart'!$A$1,"Ph",AN47,AO$6)</f>
        <v>6.604340786451486</v>
      </c>
      <c r="AP47" s="25">
        <f>_XLL.TEMPERATURE('data T-s chart'!$A$1,"Ph",AN47,AO$6)</f>
        <v>297.8977318169648</v>
      </c>
      <c r="AR47" s="16">
        <f t="shared" si="22"/>
        <v>26.481452006032065</v>
      </c>
      <c r="AS47" s="16">
        <f>_XLL.ENTROPY('data T-s chart'!$A$1,"Ph",AR47,AS$6)</f>
        <v>7.469964865901984</v>
      </c>
      <c r="AT47" s="25">
        <f>_XLL.TEMPERATURE('data T-s chart'!$A$1,"Ph",AR47,AS$6)</f>
        <v>562.0741099536834</v>
      </c>
    </row>
    <row r="48" spans="1:46" ht="12.75">
      <c r="A48" s="16">
        <f>_XLL.ENTROPY('data T-s chart'!$A$1,"Tq",B48,0)</f>
        <v>1.8382319791524948</v>
      </c>
      <c r="B48" s="16">
        <f t="shared" si="24"/>
        <v>149.63440000600002</v>
      </c>
      <c r="D48" s="16">
        <f>_XLL.ENTROPY('data T-s chart'!$A$1,"Tq",E48,1)</f>
        <v>6.840326298696797</v>
      </c>
      <c r="E48" s="16">
        <f t="shared" si="25"/>
        <v>149.63440000600002</v>
      </c>
      <c r="G48" s="16">
        <f>_XLL.ENTROPY('data T-s chart'!$A$1,"PT",H$6,H48)</f>
        <v>8.126590971135434</v>
      </c>
      <c r="H48" s="16">
        <f t="shared" si="19"/>
        <v>274.7044389585034</v>
      </c>
      <c r="I48" s="16">
        <f>_XLL.ENTROPY('data T-s chart'!$A$1,"PT",J$6,J48)</f>
        <v>6.6406451007408975</v>
      </c>
      <c r="J48" s="16">
        <f t="shared" si="20"/>
        <v>397.9571533897472</v>
      </c>
      <c r="K48" s="16">
        <f>_XLL.ENTROPY('data T-s chart'!$A$1,"PT",L$6,L48)</f>
        <v>3.1937039058483823</v>
      </c>
      <c r="L48" s="16">
        <f t="shared" si="26"/>
        <v>299.158800002</v>
      </c>
      <c r="M48" s="16">
        <f>_XLL.ENTROPY('data T-s chart'!$A$1,"PT",N$6,N48)</f>
        <v>3.245681071372533</v>
      </c>
      <c r="N48" s="16">
        <f t="shared" si="27"/>
        <v>320.00600000599997</v>
      </c>
      <c r="P48" s="16">
        <f>_XLL.ENTROPY('data T-s chart'!$A$1,"Tv",Q48,Q$6)</f>
        <v>7.49463888508707</v>
      </c>
      <c r="Q48" s="16">
        <f t="shared" si="28"/>
        <v>320.00600000599997</v>
      </c>
      <c r="R48" s="16">
        <f>_XLL.ENTROPY('data T-s chart'!$A$1,"Tv",S48,S$6)</f>
        <v>4.719326325701244</v>
      </c>
      <c r="S48" s="16">
        <f t="shared" si="29"/>
        <v>320.00600000599997</v>
      </c>
      <c r="T48" s="16">
        <f>_XLL.ENTROPY('data T-s chart'!$A$1,"Tv",U48,U$6)</f>
        <v>3.689208129286134</v>
      </c>
      <c r="U48" s="16">
        <f t="shared" si="30"/>
        <v>320.00600000599997</v>
      </c>
      <c r="V48" s="16">
        <f>_XLL.ENTROPY('data T-s chart'!$A$1,"Tv",W48,W$6)</f>
        <v>3.5240180040952427</v>
      </c>
      <c r="W48" s="16">
        <f t="shared" si="31"/>
        <v>320.00600000599997</v>
      </c>
      <c r="Y48" s="16">
        <f>_XLL.ENTROPY('data T-s chart'!$A$1,"Tq",Z48,Z$5)</f>
        <v>3.0884865441843963</v>
      </c>
      <c r="Z48" s="16">
        <f t="shared" si="32"/>
        <v>149.584400006</v>
      </c>
      <c r="AA48" s="16">
        <f>_XLL.ENTROPY('data T-s chart'!$A$1,"Tq",AB48,AB$5)</f>
        <v>4.339250061866675</v>
      </c>
      <c r="AB48" s="16">
        <f t="shared" si="33"/>
        <v>149.584400006</v>
      </c>
      <c r="AC48" s="16">
        <f>_XLL.ENTROPY('data T-s chart'!$A$1,"Tq",AD48,AD$5)</f>
        <v>5.590013579548954</v>
      </c>
      <c r="AD48" s="16">
        <f t="shared" si="34"/>
        <v>149.584400006</v>
      </c>
      <c r="AF48" s="16">
        <f t="shared" si="23"/>
        <v>0.12959079542631574</v>
      </c>
      <c r="AG48" s="16">
        <f>_XLL.ENTROPY('data T-s chart'!$A$1,"Ph",AF48,AG$6)</f>
        <v>3.1432189595940345</v>
      </c>
      <c r="AH48" s="25">
        <f>_XLL.TEMPERATURE('data T-s chart'!$A$1,"Ph",AF48,AG$6)</f>
        <v>50.9713575381038</v>
      </c>
      <c r="AL48" s="25"/>
      <c r="AN48" s="16">
        <f t="shared" si="21"/>
        <v>22.068896848454802</v>
      </c>
      <c r="AO48" s="16">
        <f>_XLL.ENTROPY('data T-s chart'!$A$1,"Ph",AN48,AO$6)</f>
        <v>6.682986204585661</v>
      </c>
      <c r="AP48" s="25">
        <f>_XLL.TEMPERATURE('data T-s chart'!$A$1,"Ph",AN48,AO$6)</f>
        <v>292.30379723007377</v>
      </c>
      <c r="AR48" s="16">
        <f t="shared" si="22"/>
        <v>22.068896848454802</v>
      </c>
      <c r="AS48" s="16">
        <f>_XLL.ENTROPY('data T-s chart'!$A$1,"Ph",AR48,AS$6)</f>
        <v>7.552937792204667</v>
      </c>
      <c r="AT48" s="25">
        <f>_XLL.TEMPERATURE('data T-s chart'!$A$1,"Ph",AR48,AS$6)</f>
        <v>560.3134213444586</v>
      </c>
    </row>
    <row r="49" spans="1:46" ht="12.75">
      <c r="A49" s="16">
        <f>_XLL.ENTROPY('data T-s chart'!$A$1,"Tq",B49,0)</f>
        <v>1.876165983641608</v>
      </c>
      <c r="B49" s="16">
        <f t="shared" si="24"/>
        <v>153.3737600059</v>
      </c>
      <c r="D49" s="16">
        <f>_XLL.ENTROPY('data T-s chart'!$A$1,"Tq",E49,1)</f>
        <v>6.80691396527636</v>
      </c>
      <c r="E49" s="16">
        <f t="shared" si="25"/>
        <v>153.3737600059</v>
      </c>
      <c r="G49" s="16">
        <f>_XLL.ENTROPY('data T-s chart'!$A$1,"PT",H$6,H49)</f>
        <v>8.158326351896699</v>
      </c>
      <c r="H49" s="16">
        <f t="shared" si="19"/>
        <v>283.45936497586166</v>
      </c>
      <c r="I49" s="16">
        <f>_XLL.ENTROPY('data T-s chart'!$A$1,"PT",J$6,J49)</f>
        <v>6.665043115442517</v>
      </c>
      <c r="J49" s="16">
        <f t="shared" si="20"/>
        <v>404.65786749991804</v>
      </c>
      <c r="K49" s="16">
        <f>_XLL.ENTROPY('data T-s chart'!$A$1,"PT",L$6,L49)</f>
        <v>3.262737359301521</v>
      </c>
      <c r="L49" s="16">
        <f t="shared" si="26"/>
        <v>306.6375200018</v>
      </c>
      <c r="M49" s="16">
        <f>_XLL.ENTROPY('data T-s chart'!$A$1,"PT",N$6,N49)</f>
        <v>3.3098266023697485</v>
      </c>
      <c r="N49" s="16">
        <f t="shared" si="27"/>
        <v>328.00590000589995</v>
      </c>
      <c r="P49" s="16">
        <f>_XLL.ENTROPY('data T-s chart'!$A$1,"Tv",Q49,Q$6)</f>
        <v>7.515825692263066</v>
      </c>
      <c r="Q49" s="16">
        <f t="shared" si="28"/>
        <v>328.00590000589995</v>
      </c>
      <c r="R49" s="16">
        <f>_XLL.ENTROPY('data T-s chart'!$A$1,"Tv",S49,S$6)</f>
        <v>4.901747903498039</v>
      </c>
      <c r="S49" s="16">
        <f t="shared" si="29"/>
        <v>328.00590000589995</v>
      </c>
      <c r="T49" s="16">
        <f>_XLL.ENTROPY('data T-s chart'!$A$1,"Tv",U49,U$6)</f>
        <v>3.7834897730521635</v>
      </c>
      <c r="U49" s="16">
        <f t="shared" si="30"/>
        <v>328.00590000589995</v>
      </c>
      <c r="V49" s="16">
        <f>_XLL.ENTROPY('data T-s chart'!$A$1,"Tv",W49,W$6)</f>
        <v>3.6041654962779597</v>
      </c>
      <c r="W49" s="16">
        <f t="shared" si="31"/>
        <v>328.00590000589995</v>
      </c>
      <c r="Y49" s="16">
        <f>_XLL.ENTROPY('data T-s chart'!$A$1,"Tq",Z49,Z$5)</f>
        <v>3.1085845325944703</v>
      </c>
      <c r="Z49" s="16">
        <f t="shared" si="32"/>
        <v>153.3237600059</v>
      </c>
      <c r="AA49" s="16">
        <f>_XLL.ENTROPY('data T-s chart'!$A$1,"Tq",AB49,AB$5)</f>
        <v>4.341508644152915</v>
      </c>
      <c r="AB49" s="16">
        <f t="shared" si="33"/>
        <v>153.3237600059</v>
      </c>
      <c r="AC49" s="16">
        <f>_XLL.ENTROPY('data T-s chart'!$A$1,"Tq",AD49,AD$5)</f>
        <v>5.574432755711361</v>
      </c>
      <c r="AD49" s="16">
        <f t="shared" si="34"/>
        <v>153.3237600059</v>
      </c>
      <c r="AF49" s="16">
        <f t="shared" si="23"/>
        <v>0.10489684845473679</v>
      </c>
      <c r="AG49" s="16">
        <f>_XLL.ENTROPY('data T-s chart'!$A$1,"Ph",AF49,AG$6)</f>
        <v>3.1756472415835217</v>
      </c>
      <c r="AH49" s="25">
        <f>_XLL.TEMPERATURE('data T-s chart'!$A$1,"Ph",AF49,AG$6)</f>
        <v>46.74576854221061</v>
      </c>
      <c r="AL49" s="25"/>
      <c r="AN49" s="16">
        <f t="shared" si="21"/>
        <v>17.65634169087754</v>
      </c>
      <c r="AO49" s="16">
        <f>_XLL.ENTROPY('data T-s chart'!$A$1,"Ph",AN49,AO$6)</f>
        <v>6.780309656532409</v>
      </c>
      <c r="AP49" s="25">
        <f>_XLL.TEMPERATURE('data T-s chart'!$A$1,"Ph",AN49,AO$6)</f>
        <v>286.51141112132973</v>
      </c>
      <c r="AR49" s="16">
        <f t="shared" si="22"/>
        <v>17.65634169087754</v>
      </c>
      <c r="AS49" s="16">
        <f>_XLL.ENTROPY('data T-s chart'!$A$1,"Ph",AR49,AS$6)</f>
        <v>7.654732189683573</v>
      </c>
      <c r="AT49" s="25">
        <f>_XLL.TEMPERATURE('data T-s chart'!$A$1,"Ph",AR49,AS$6)</f>
        <v>558.5384522830833</v>
      </c>
    </row>
    <row r="50" spans="1:46" ht="12.75">
      <c r="A50" s="16">
        <f>_XLL.ENTROPY('data T-s chart'!$A$1,"Tq",B50,0)</f>
        <v>1.9138505703514785</v>
      </c>
      <c r="B50" s="16">
        <f t="shared" si="24"/>
        <v>157.1131200058</v>
      </c>
      <c r="D50" s="16">
        <f>_XLL.ENTROPY('data T-s chart'!$A$1,"Tq",E50,1)</f>
        <v>6.77407776743364</v>
      </c>
      <c r="E50" s="16">
        <f t="shared" si="25"/>
        <v>157.1131200058</v>
      </c>
      <c r="G50" s="16">
        <f>_XLL.ENTROPY('data T-s chart'!$A$1,"PT",H$6,H50)</f>
        <v>8.189632293134002</v>
      </c>
      <c r="H50" s="16">
        <f t="shared" si="19"/>
        <v>292.21429099321995</v>
      </c>
      <c r="I50" s="16">
        <f>_XLL.ENTROPY('data T-s chart'!$A$1,"PT",J$6,J50)</f>
        <v>6.689042810602119</v>
      </c>
      <c r="J50" s="16">
        <f t="shared" si="20"/>
        <v>411.3585816100889</v>
      </c>
      <c r="K50" s="16">
        <f>_XLL.ENTROPY('data T-s chart'!$A$1,"PT",L$6,L50)</f>
        <v>3.332976328396956</v>
      </c>
      <c r="L50" s="16">
        <f t="shared" si="26"/>
        <v>314.1162400016</v>
      </c>
      <c r="M50" s="16">
        <f>_XLL.ENTROPY('data T-s chart'!$A$1,"PT",N$6,N50)</f>
        <v>3.373960164268043</v>
      </c>
      <c r="N50" s="16">
        <f t="shared" si="27"/>
        <v>336.0058000057999</v>
      </c>
      <c r="P50" s="16">
        <f>_XLL.ENTROPY('data T-s chart'!$A$1,"Tv",Q50,Q$6)</f>
        <v>7.536777697743354</v>
      </c>
      <c r="Q50" s="16">
        <f t="shared" si="28"/>
        <v>336.0058000057999</v>
      </c>
      <c r="R50" s="16">
        <f>_XLL.ENTROPY('data T-s chart'!$A$1,"Tv",S50,S$6)</f>
        <v>5.09299423131513</v>
      </c>
      <c r="S50" s="16">
        <f t="shared" si="29"/>
        <v>336.0058000057999</v>
      </c>
      <c r="T50" s="16">
        <f>_XLL.ENTROPY('data T-s chart'!$A$1,"Tv",U50,U$6)</f>
        <v>3.8798833554769776</v>
      </c>
      <c r="U50" s="16">
        <f t="shared" si="30"/>
        <v>336.0058000057999</v>
      </c>
      <c r="V50" s="16">
        <f>_XLL.ENTROPY('data T-s chart'!$A$1,"Tv",W50,W$6)</f>
        <v>3.685348458270499</v>
      </c>
      <c r="W50" s="16">
        <f t="shared" si="31"/>
        <v>336.0058000057999</v>
      </c>
      <c r="Y50" s="16">
        <f>_XLL.ENTROPY('data T-s chart'!$A$1,"Tq",Z50,Z$5)</f>
        <v>3.128639504884485</v>
      </c>
      <c r="Z50" s="16">
        <f t="shared" si="32"/>
        <v>157.0631200058</v>
      </c>
      <c r="AA50" s="16">
        <f>_XLL.ENTROPY('data T-s chart'!$A$1,"Tq",AB50,AB$5)</f>
        <v>4.34393072042706</v>
      </c>
      <c r="AB50" s="16">
        <f t="shared" si="33"/>
        <v>157.0631200058</v>
      </c>
      <c r="AC50" s="16">
        <f>_XLL.ENTROPY('data T-s chart'!$A$1,"Tq",AD50,AD$5)</f>
        <v>5.559221935969633</v>
      </c>
      <c r="AD50" s="16">
        <f t="shared" si="34"/>
        <v>157.0631200058</v>
      </c>
      <c r="AF50" s="16">
        <f t="shared" si="23"/>
        <v>0.08020290148315784</v>
      </c>
      <c r="AG50" s="16">
        <f>_XLL.ENTROPY('data T-s chart'!$A$1,"Ph",AF50,AG$6)</f>
        <v>3.217662085423704</v>
      </c>
      <c r="AH50" s="25">
        <f>_XLL.TEMPERATURE('data T-s chart'!$A$1,"Ph",AF50,AG$6)</f>
        <v>41.55809621483479</v>
      </c>
      <c r="AL50" s="25"/>
      <c r="AN50" s="16">
        <f t="shared" si="21"/>
        <v>13.243786533300277</v>
      </c>
      <c r="AO50" s="16">
        <f>_XLL.ENTROPY('data T-s chart'!$A$1,"Ph",AN50,AO$6)</f>
        <v>6.9072393269875505</v>
      </c>
      <c r="AP50" s="25">
        <f>_XLL.TEMPERATURE('data T-s chart'!$A$1,"Ph",AN50,AO$6)</f>
        <v>280.51250600882975</v>
      </c>
      <c r="AR50" s="16">
        <f t="shared" si="22"/>
        <v>13.243786533300277</v>
      </c>
      <c r="AS50" s="16">
        <f>_XLL.ENTROPY('data T-s chart'!$A$1,"Ph",AR50,AS$6)</f>
        <v>7.786283882775178</v>
      </c>
      <c r="AT50" s="25">
        <f>_XLL.TEMPERATURE('data T-s chart'!$A$1,"Ph",AR50,AS$6)</f>
        <v>556.7491997535753</v>
      </c>
    </row>
    <row r="51" spans="1:46" ht="12.75">
      <c r="A51" s="16">
        <f>_XLL.ENTROPY('data T-s chart'!$A$1,"Tq",B51,0)</f>
        <v>1.9512938236238122</v>
      </c>
      <c r="B51" s="16">
        <f t="shared" si="24"/>
        <v>160.8524800057</v>
      </c>
      <c r="D51" s="16">
        <f>_XLL.ENTROPY('data T-s chart'!$A$1,"Tq",E51,1)</f>
        <v>6.741789841349307</v>
      </c>
      <c r="E51" s="16">
        <f t="shared" si="25"/>
        <v>160.8524800057</v>
      </c>
      <c r="G51" s="16">
        <f>_XLL.ENTROPY('data T-s chart'!$A$1,"PT",H$6,H51)</f>
        <v>8.220524396540293</v>
      </c>
      <c r="H51" s="16">
        <f t="shared" si="19"/>
        <v>300.96921701057823</v>
      </c>
      <c r="I51" s="16">
        <f>_XLL.ENTROPY('data T-s chart'!$A$1,"PT",J$6,J51)</f>
        <v>6.712668131419745</v>
      </c>
      <c r="J51" s="16">
        <f t="shared" si="20"/>
        <v>418.05929572025974</v>
      </c>
      <c r="K51" s="16">
        <f>_XLL.ENTROPY('data T-s chart'!$A$1,"PT",L$6,L51)</f>
        <v>3.4048348612603654</v>
      </c>
      <c r="L51" s="16">
        <f t="shared" si="26"/>
        <v>321.59496000139995</v>
      </c>
      <c r="M51" s="16">
        <f>_XLL.ENTROPY('data T-s chart'!$A$1,"PT",N$6,N51)</f>
        <v>3.4381344666171083</v>
      </c>
      <c r="N51" s="16">
        <f t="shared" si="27"/>
        <v>344.0057000056999</v>
      </c>
      <c r="P51" s="16">
        <f>_XLL.ENTROPY('data T-s chart'!$A$1,"Tv",Q51,Q$6)</f>
        <v>7.55750330711708</v>
      </c>
      <c r="Q51" s="16">
        <f t="shared" si="28"/>
        <v>344.0057000056999</v>
      </c>
      <c r="R51" s="16">
        <f>_XLL.ENTROPY('data T-s chart'!$A$1,"Tv",S51,S$6)</f>
        <v>5.291487232237282</v>
      </c>
      <c r="S51" s="16">
        <f t="shared" si="29"/>
        <v>344.0057000056999</v>
      </c>
      <c r="T51" s="16">
        <f>_XLL.ENTROPY('data T-s chart'!$A$1,"Tv",U51,U$6)</f>
        <v>3.978923307719548</v>
      </c>
      <c r="U51" s="16">
        <f t="shared" si="30"/>
        <v>344.0057000056999</v>
      </c>
      <c r="V51" s="16">
        <f>_XLL.ENTROPY('data T-s chart'!$A$1,"Tv",W51,W$6)</f>
        <v>3.7679177004012887</v>
      </c>
      <c r="W51" s="16">
        <f t="shared" si="31"/>
        <v>344.0057000056999</v>
      </c>
      <c r="Y51" s="16">
        <f>_XLL.ENTROPY('data T-s chart'!$A$1,"Tq",Z51,Z$5)</f>
        <v>3.148650555921418</v>
      </c>
      <c r="Z51" s="16">
        <f t="shared" si="32"/>
        <v>160.80248000569998</v>
      </c>
      <c r="AA51" s="16">
        <f>_XLL.ENTROPY('data T-s chart'!$A$1,"Tq",AB51,AB$5)</f>
        <v>4.346506395416317</v>
      </c>
      <c r="AB51" s="16">
        <f t="shared" si="33"/>
        <v>160.80248000569998</v>
      </c>
      <c r="AC51" s="16">
        <f>_XLL.ENTROPY('data T-s chart'!$A$1,"Tq",AD51,AD$5)</f>
        <v>5.544362234911217</v>
      </c>
      <c r="AD51" s="16">
        <f t="shared" si="34"/>
        <v>160.80248000569998</v>
      </c>
      <c r="AF51" s="16">
        <f t="shared" si="23"/>
        <v>0.05550895451157888</v>
      </c>
      <c r="AG51" s="16">
        <f>_XLL.ENTROPY('data T-s chart'!$A$1,"Ph",AF51,AG$6)</f>
        <v>3.276720334000247</v>
      </c>
      <c r="AH51" s="25">
        <f>_XLL.TEMPERATURE('data T-s chart'!$A$1,"Ph",AF51,AG$6)</f>
        <v>34.74881161556647</v>
      </c>
      <c r="AL51" s="25"/>
      <c r="AN51" s="16">
        <f t="shared" si="21"/>
        <v>8.831231375723014</v>
      </c>
      <c r="AO51" s="16">
        <f>_XLL.ENTROPY('data T-s chart'!$A$1,"Ph",AN51,AO$6)</f>
        <v>7.088312712000497</v>
      </c>
      <c r="AP51" s="25">
        <f>_XLL.TEMPERATURE('data T-s chart'!$A$1,"Ph",AN51,AO$6)</f>
        <v>274.30367942178816</v>
      </c>
      <c r="AR51" s="16">
        <f t="shared" si="22"/>
        <v>8.831231375723014</v>
      </c>
      <c r="AS51" s="16">
        <f>_XLL.ENTROPY('data T-s chart'!$A$1,"Ph",AR51,AS$6)</f>
        <v>7.972135345529322</v>
      </c>
      <c r="AT51" s="25">
        <f>_XLL.TEMPERATURE('data T-s chart'!$A$1,"Ph",AR51,AS$6)</f>
        <v>554.9456614103868</v>
      </c>
    </row>
    <row r="52" spans="1:46" ht="12.75">
      <c r="A52" s="16">
        <f>_XLL.ENTROPY('data T-s chart'!$A$1,"Tq",B52,0)</f>
        <v>1.9885037843464337</v>
      </c>
      <c r="B52" s="16">
        <f t="shared" si="24"/>
        <v>164.59184000559998</v>
      </c>
      <c r="D52" s="16">
        <f>_XLL.ENTROPY('data T-s chart'!$A$1,"Tq",E52,1)</f>
        <v>6.710023152852115</v>
      </c>
      <c r="E52" s="16">
        <f t="shared" si="25"/>
        <v>164.59184000559998</v>
      </c>
      <c r="G52" s="16">
        <f>_XLL.ENTROPY('data T-s chart'!$A$1,"PT",H$6,H52)</f>
        <v>8.251017296210645</v>
      </c>
      <c r="H52" s="16">
        <f t="shared" si="19"/>
        <v>309.7241430279365</v>
      </c>
      <c r="I52" s="16">
        <f>_XLL.ENTROPY('data T-s chart'!$A$1,"PT",J$6,J52)</f>
        <v>6.735940671198114</v>
      </c>
      <c r="J52" s="16">
        <f t="shared" si="20"/>
        <v>424.7600098304306</v>
      </c>
      <c r="K52" s="16">
        <f>_XLL.ENTROPY('data T-s chart'!$A$1,"PT",L$6,L52)</f>
        <v>3.47888362972465</v>
      </c>
      <c r="L52" s="16">
        <f t="shared" si="26"/>
        <v>329.07368000119993</v>
      </c>
      <c r="M52" s="16">
        <f>_XLL.ENTROPY('data T-s chart'!$A$1,"PT",N$6,N52)</f>
        <v>3.5023661173369223</v>
      </c>
      <c r="N52" s="16">
        <f t="shared" si="27"/>
        <v>352.0056000055999</v>
      </c>
      <c r="P52" s="16">
        <f>_XLL.ENTROPY('data T-s chart'!$A$1,"Tv",Q52,Q$6)</f>
        <v>7.578010359789337</v>
      </c>
      <c r="Q52" s="16">
        <f t="shared" si="28"/>
        <v>352.0056000055999</v>
      </c>
      <c r="R52" s="16">
        <f>_XLL.ENTROPY('data T-s chart'!$A$1,"Tv",S52,S$6)</f>
        <v>5.336182132106918</v>
      </c>
      <c r="S52" s="16">
        <f t="shared" si="29"/>
        <v>352.0056000055999</v>
      </c>
      <c r="T52" s="16">
        <f>_XLL.ENTROPY('data T-s chart'!$A$1,"Tv",U52,U$6)</f>
        <v>4.081439710891255</v>
      </c>
      <c r="U52" s="16">
        <f t="shared" si="30"/>
        <v>352.0056000055999</v>
      </c>
      <c r="V52" s="16">
        <f>_XLL.ENTROPY('data T-s chart'!$A$1,"Tv",W52,W$6)</f>
        <v>3.852484724879702</v>
      </c>
      <c r="W52" s="16">
        <f t="shared" si="31"/>
        <v>352.0056000055999</v>
      </c>
      <c r="Y52" s="16">
        <f>_XLL.ENTROPY('data T-s chart'!$A$1,"Tq",Z52,Z$5)</f>
        <v>3.1686169555831545</v>
      </c>
      <c r="Z52" s="16">
        <f t="shared" si="32"/>
        <v>164.54184000559997</v>
      </c>
      <c r="AA52" s="16">
        <f>_XLL.ENTROPY('data T-s chart'!$A$1,"Tq",AB52,AB$5)</f>
        <v>4.349226167489022</v>
      </c>
      <c r="AB52" s="16">
        <f t="shared" si="33"/>
        <v>164.54184000559997</v>
      </c>
      <c r="AC52" s="16">
        <f>_XLL.ENTROPY('data T-s chart'!$A$1,"Tq",AD52,AD$5)</f>
        <v>5.529835379394889</v>
      </c>
      <c r="AD52" s="16">
        <f t="shared" si="34"/>
        <v>164.54184000559997</v>
      </c>
      <c r="AF52" s="16">
        <f t="shared" si="23"/>
        <v>0.030815007539999925</v>
      </c>
      <c r="AG52" s="16">
        <f>_XLL.ENTROPY('data T-s chart'!$A$1,"Ph",AF52,AG$6)</f>
        <v>3.3744241955408465</v>
      </c>
      <c r="AH52" s="25">
        <f>_XLL.TEMPERATURE('data T-s chart'!$A$1,"Ph",AF52,AG$6)</f>
        <v>24.527207806043634</v>
      </c>
      <c r="AL52" s="25"/>
      <c r="AN52" s="16">
        <f t="shared" si="21"/>
        <v>4.418676218145752</v>
      </c>
      <c r="AO52" s="16">
        <f>_XLL.ENTROPY('data T-s chart'!$A$1,"Ph",AN52,AO$6)</f>
        <v>7.4017748647843264</v>
      </c>
      <c r="AP52" s="25">
        <f>_XLL.TEMPERATURE('data T-s chart'!$A$1,"Ph",AN52,AO$6)</f>
        <v>267.88798277880653</v>
      </c>
      <c r="AR52" s="16">
        <f t="shared" si="22"/>
        <v>4.418676218145752</v>
      </c>
      <c r="AS52" s="16">
        <f>_XLL.ENTROPY('data T-s chart'!$A$1,"Ph",AR52,AS$6)</f>
        <v>8.290540341978827</v>
      </c>
      <c r="AT52" s="25">
        <f>_XLL.TEMPERATURE('data T-s chart'!$A$1,"Ph",AR52,AS$6)</f>
        <v>553.1278355784174</v>
      </c>
    </row>
    <row r="53" spans="1:46" ht="12.75">
      <c r="A53" s="16">
        <f>_XLL.ENTROPY('data T-s chart'!$A$1,"Tq",B53,0)</f>
        <v>2.0254884622525027</v>
      </c>
      <c r="B53" s="16">
        <f t="shared" si="24"/>
        <v>168.33120000549997</v>
      </c>
      <c r="D53" s="16">
        <f>_XLL.ENTROPY('data T-s chart'!$A$1,"Tq",E53,1)</f>
        <v>6.67875140608974</v>
      </c>
      <c r="E53" s="16">
        <f t="shared" si="25"/>
        <v>168.33120000549997</v>
      </c>
      <c r="G53" s="16">
        <f>_XLL.ENTROPY('data T-s chart'!$A$1,"PT",H$6,H53)</f>
        <v>8.281124754380278</v>
      </c>
      <c r="H53" s="16">
        <f t="shared" si="19"/>
        <v>318.4790690452948</v>
      </c>
      <c r="I53" s="16">
        <f>_XLL.ENTROPY('data T-s chart'!$A$1,"PT",J$6,J53)</f>
        <v>6.758879959900702</v>
      </c>
      <c r="J53" s="16">
        <f t="shared" si="20"/>
        <v>431.46072394060144</v>
      </c>
      <c r="K53" s="16">
        <f>_XLL.ENTROPY('data T-s chart'!$A$1,"PT",L$6,L53)</f>
        <v>3.5559505721321987</v>
      </c>
      <c r="L53" s="16">
        <f t="shared" si="26"/>
        <v>336.5524000009999</v>
      </c>
      <c r="M53" s="16">
        <f>_XLL.ENTROPY('data T-s chart'!$A$1,"PT",N$6,N53)</f>
        <v>3.566870838607226</v>
      </c>
      <c r="N53" s="16">
        <f t="shared" si="27"/>
        <v>360.00550000549987</v>
      </c>
      <c r="P53" s="16">
        <f>_XLL.ENTROPY('data T-s chart'!$A$1,"Tv",Q53,Q$6)</f>
        <v>7.598306225891871</v>
      </c>
      <c r="Q53" s="16">
        <f t="shared" si="28"/>
        <v>360.00550000549987</v>
      </c>
      <c r="R53" s="16">
        <f>_XLL.ENTROPY('data T-s chart'!$A$1,"Tv",S53,S$6)</f>
        <v>5.377657229123332</v>
      </c>
      <c r="S53" s="16">
        <f t="shared" si="29"/>
        <v>360.00550000549987</v>
      </c>
      <c r="T53" s="16">
        <f>_XLL.ENTROPY('data T-s chart'!$A$1,"Tv",U53,U$6)</f>
        <v>4.188931330798761</v>
      </c>
      <c r="U53" s="16">
        <f t="shared" si="30"/>
        <v>360.00550000549987</v>
      </c>
      <c r="V53" s="16">
        <f>_XLL.ENTROPY('data T-s chart'!$A$1,"Tv",W53,W$6)</f>
        <v>3.940153493707623</v>
      </c>
      <c r="W53" s="16">
        <f t="shared" si="31"/>
        <v>360.00550000549987</v>
      </c>
      <c r="Y53" s="16">
        <f>_XLL.ENTROPY('data T-s chart'!$A$1,"Tq",Z53,Z$5)</f>
        <v>3.1885381351347784</v>
      </c>
      <c r="Z53" s="16">
        <f t="shared" si="32"/>
        <v>168.28120000549995</v>
      </c>
      <c r="AA53" s="16">
        <f>_XLL.ENTROPY('data T-s chart'!$A$1,"Tq",AB53,AB$5)</f>
        <v>4.352080889106242</v>
      </c>
      <c r="AB53" s="16">
        <f t="shared" si="33"/>
        <v>168.28120000549995</v>
      </c>
      <c r="AC53" s="16">
        <f>_XLL.ENTROPY('data T-s chart'!$A$1,"Tq",AD53,AD$5)</f>
        <v>5.515623643077705</v>
      </c>
      <c r="AD53" s="16">
        <f t="shared" si="34"/>
        <v>168.28120000549995</v>
      </c>
      <c r="AF53" s="16">
        <f>AI4</f>
        <v>0.006121060568420839</v>
      </c>
      <c r="AG53" s="16">
        <f>_XLL.ENTROPY('data T-s chart'!$A$1,"Ph",AF53,AG$6)</f>
        <v>3.660725839650507</v>
      </c>
      <c r="AH53" s="25">
        <f>_XLL.TEMPERATURE('data T-s chart'!$A$1,"Ph",AF53,AG$6)</f>
        <v>0.02010000999996464</v>
      </c>
      <c r="AL53" s="25"/>
      <c r="AN53" s="16">
        <f>AI$4</f>
        <v>0.006121060568420839</v>
      </c>
      <c r="AO53" s="16">
        <f>_XLL.ENTROPY('data T-s chart'!$A$1,"Ph",AN53,AO$6)</f>
        <v>10.433158425774078</v>
      </c>
      <c r="AP53" s="25">
        <f>_XLL.TEMPERATURE('data T-s chart'!$A$1,"Ph",AN53,AO$6)</f>
        <v>261.27735061630676</v>
      </c>
      <c r="AR53" s="16">
        <f>AI4</f>
        <v>0.006121060568420839</v>
      </c>
      <c r="AS53" s="16">
        <f>_XLL.ENTROPY('data T-s chart'!$A$1,"Ph",AR53,AS$6)</f>
        <v>11.3270539379592</v>
      </c>
      <c r="AT53" s="25">
        <f>_XLL.TEMPERATURE('data T-s chart'!$A$1,"Ph",AR53,AS$6)</f>
        <v>551.2957212530227</v>
      </c>
    </row>
    <row r="54" spans="1:30" ht="12.75">
      <c r="A54" s="16">
        <f>_XLL.ENTROPY('data T-s chart'!$A$1,"Tq",B54,0)</f>
        <v>2.062255848126896</v>
      </c>
      <c r="B54" s="16">
        <f t="shared" si="24"/>
        <v>172.07056000539995</v>
      </c>
      <c r="D54" s="16">
        <f>_XLL.ENTROPY('data T-s chart'!$A$1,"Tq",E54,1)</f>
        <v>6.6479489583455775</v>
      </c>
      <c r="E54" s="16">
        <f t="shared" si="25"/>
        <v>172.07056000539995</v>
      </c>
      <c r="G54" s="16">
        <f>_XLL.ENTROPY('data T-s chart'!$A$1,"PT",H$6,H54)</f>
        <v>8.310859744039808</v>
      </c>
      <c r="H54" s="16">
        <f t="shared" si="19"/>
        <v>327.2339950626531</v>
      </c>
      <c r="I54" s="16">
        <f>_XLL.ENTROPY('data T-s chart'!$A$1,"PT",J$6,J54)</f>
        <v>6.781503712149823</v>
      </c>
      <c r="J54" s="16">
        <f t="shared" si="20"/>
        <v>438.1614380507723</v>
      </c>
      <c r="K54" s="16">
        <f>_XLL.ENTROPY('data T-s chart'!$A$1,"PT",L$6,L54)</f>
        <v>3.637322707906904</v>
      </c>
      <c r="L54" s="16">
        <f t="shared" si="26"/>
        <v>344.0311200007999</v>
      </c>
      <c r="M54" s="16">
        <f>_XLL.ENTROPY('data T-s chart'!$A$1,"PT",N$6,N54)</f>
        <v>3.6317656259957403</v>
      </c>
      <c r="N54" s="16">
        <f t="shared" si="27"/>
        <v>368.00540000539985</v>
      </c>
      <c r="P54" s="16">
        <f>_XLL.ENTROPY('data T-s chart'!$A$1,"Tv",Q54,Q$6)</f>
        <v>7.618397820215013</v>
      </c>
      <c r="Q54" s="16">
        <f t="shared" si="28"/>
        <v>368.00540000539985</v>
      </c>
      <c r="R54" s="16">
        <f>_XLL.ENTROPY('data T-s chart'!$A$1,"Tv",S54,S$6)</f>
        <v>5.416815480964764</v>
      </c>
      <c r="S54" s="16">
        <f t="shared" si="29"/>
        <v>368.00540000539985</v>
      </c>
      <c r="T54" s="16">
        <f>_XLL.ENTROPY('data T-s chart'!$A$1,"Tv",U54,U$6)</f>
        <v>4.304914082003826</v>
      </c>
      <c r="U54" s="16">
        <f t="shared" si="30"/>
        <v>368.00540000539985</v>
      </c>
      <c r="V54" s="16">
        <f>_XLL.ENTROPY('data T-s chart'!$A$1,"Tv",W54,W$6)</f>
        <v>4.009675883870647</v>
      </c>
      <c r="W54" s="16">
        <f t="shared" si="31"/>
        <v>368.00540000539985</v>
      </c>
      <c r="Y54" s="16">
        <f>_XLL.ENTROPY('data T-s chart'!$A$1,"Tq",Z54,Z$5)</f>
        <v>3.208413675064598</v>
      </c>
      <c r="Z54" s="16">
        <f t="shared" si="32"/>
        <v>172.02056000539994</v>
      </c>
      <c r="AA54" s="16">
        <f>_XLL.ENTROPY('data T-s chart'!$A$1,"Tq",AB54,AB$5)</f>
        <v>4.355061730286716</v>
      </c>
      <c r="AB54" s="16">
        <f t="shared" si="33"/>
        <v>172.02056000539994</v>
      </c>
      <c r="AC54" s="16">
        <f>_XLL.ENTROPY('data T-s chart'!$A$1,"Tq",AD54,AD$5)</f>
        <v>5.501709785508832</v>
      </c>
      <c r="AD54" s="16">
        <f t="shared" si="34"/>
        <v>172.02056000539994</v>
      </c>
    </row>
    <row r="55" spans="1:30" ht="12.75">
      <c r="A55" s="16">
        <f>_XLL.ENTROPY('data T-s chart'!$A$1,"Tq",B55,0)</f>
        <v>2.098813925996722</v>
      </c>
      <c r="B55" s="16">
        <f t="shared" si="24"/>
        <v>175.80992000529994</v>
      </c>
      <c r="D55" s="16">
        <f>_XLL.ENTROPY('data T-s chart'!$A$1,"Tq",E55,1)</f>
        <v>6.6175907425625065</v>
      </c>
      <c r="E55" s="16">
        <f t="shared" si="25"/>
        <v>175.80992000529994</v>
      </c>
      <c r="G55" s="16">
        <f>_XLL.ENTROPY('data T-s chart'!$A$1,"PT",H$6,H55)</f>
        <v>8.340234520577736</v>
      </c>
      <c r="H55" s="16">
        <f t="shared" si="19"/>
        <v>335.9889210800114</v>
      </c>
      <c r="I55" s="16">
        <f>_XLL.ENTROPY('data T-s chart'!$A$1,"PT",J$6,J55)</f>
        <v>6.8038280411385506</v>
      </c>
      <c r="J55" s="16">
        <f t="shared" si="20"/>
        <v>444.86215216094314</v>
      </c>
      <c r="K55" s="16">
        <f>_XLL.ENTROPY('data T-s chart'!$A$1,"PT",L$6,L55)</f>
        <v>3.7252169117030194</v>
      </c>
      <c r="L55" s="16">
        <f t="shared" si="26"/>
        <v>351.50984000059987</v>
      </c>
      <c r="M55" s="16">
        <f>_XLL.ENTROPY('data T-s chart'!$A$1,"PT",N$6,N55)</f>
        <v>3.697122985457736</v>
      </c>
      <c r="N55" s="16">
        <f t="shared" si="27"/>
        <v>376.00530000529983</v>
      </c>
      <c r="P55" s="16">
        <f>_XLL.ENTROPY('data T-s chart'!$A$1,"Tv",Q55,Q$6)</f>
        <v>7.638291662172694</v>
      </c>
      <c r="Q55" s="16">
        <f t="shared" si="28"/>
        <v>376.00530000529983</v>
      </c>
      <c r="R55" s="16">
        <f>_XLL.ENTROPY('data T-s chart'!$A$1,"Tv",S55,S$6)</f>
        <v>5.454081312226343</v>
      </c>
      <c r="S55" s="16">
        <f t="shared" si="29"/>
        <v>376.00530000529983</v>
      </c>
      <c r="T55" s="16">
        <f>_XLL.ENTROPY('data T-s chart'!$A$1,"Tv",U55,U$6)</f>
        <v>4.426228251931052</v>
      </c>
      <c r="U55" s="16">
        <f t="shared" si="30"/>
        <v>376.00530000529983</v>
      </c>
      <c r="V55" s="16">
        <f>_XLL.ENTROPY('data T-s chart'!$A$1,"Tv",W55,W$6)</f>
        <v>4.0501157547227375</v>
      </c>
      <c r="W55" s="16">
        <f t="shared" si="31"/>
        <v>376.00530000529983</v>
      </c>
      <c r="Y55" s="16">
        <f>_XLL.ENTROPY('data T-s chart'!$A$1,"Tq",Z55,Z$5)</f>
        <v>3.2282432948302064</v>
      </c>
      <c r="Z55" s="16">
        <f t="shared" si="32"/>
        <v>175.75992000529993</v>
      </c>
      <c r="AA55" s="16">
        <f>_XLL.ENTROPY('data T-s chart'!$A$1,"Tq",AB55,AB$5)</f>
        <v>4.358160145908766</v>
      </c>
      <c r="AB55" s="16">
        <f t="shared" si="33"/>
        <v>175.75992000529993</v>
      </c>
      <c r="AC55" s="16">
        <f>_XLL.ENTROPY('data T-s chart'!$A$1,"Tq",AD55,AD$5)</f>
        <v>5.488076996987324</v>
      </c>
      <c r="AD55" s="16">
        <f t="shared" si="34"/>
        <v>175.75992000529993</v>
      </c>
    </row>
    <row r="56" spans="1:30" ht="12.75">
      <c r="A56" s="16">
        <f>_XLL.ENTROPY('data T-s chart'!$A$1,"Tq",B56,0)</f>
        <v>2.1351706853879</v>
      </c>
      <c r="B56" s="16">
        <f t="shared" si="24"/>
        <v>179.54928000519993</v>
      </c>
      <c r="D56" s="16">
        <f>_XLL.ENTROPY('data T-s chart'!$A$1,"Tq",E56,1)</f>
        <v>6.587652198396072</v>
      </c>
      <c r="E56" s="16">
        <f t="shared" si="25"/>
        <v>179.54928000519993</v>
      </c>
      <c r="G56" s="16">
        <f>_XLL.ENTROPY('data T-s chart'!$A$1,"PT",H$6,H56)</f>
        <v>8.369260684206868</v>
      </c>
      <c r="H56" s="16">
        <f t="shared" si="19"/>
        <v>344.74384709736967</v>
      </c>
      <c r="I56" s="16">
        <f>_XLL.ENTROPY('data T-s chart'!$A$1,"PT",J$6,J56)</f>
        <v>6.825867643731072</v>
      </c>
      <c r="J56" s="16">
        <f t="shared" si="20"/>
        <v>451.562866271114</v>
      </c>
      <c r="K56" s="16">
        <f>_XLL.ENTROPY('data T-s chart'!$A$1,"PT",L$6,L56)</f>
        <v>3.8245686059904465</v>
      </c>
      <c r="L56" s="16">
        <f t="shared" si="26"/>
        <v>358.98856000039984</v>
      </c>
      <c r="M56" s="16">
        <f>_XLL.ENTROPY('data T-s chart'!$A$1,"PT",N$6,N56)</f>
        <v>3.763016475024005</v>
      </c>
      <c r="N56" s="16">
        <f t="shared" si="27"/>
        <v>384.0052000051998</v>
      </c>
      <c r="P56" s="16">
        <f>_XLL.ENTROPY('data T-s chart'!$A$1,"Tv",Q56,Q$6)</f>
        <v>7.657993904337451</v>
      </c>
      <c r="Q56" s="16">
        <f t="shared" si="28"/>
        <v>384.0052000051998</v>
      </c>
      <c r="R56" s="16">
        <f>_XLL.ENTROPY('data T-s chart'!$A$1,"Tv",S56,S$6)</f>
        <v>5.4896606015129334</v>
      </c>
      <c r="S56" s="16">
        <f t="shared" si="29"/>
        <v>384.0052000051998</v>
      </c>
      <c r="T56" s="16">
        <f>_XLL.ENTROPY('data T-s chart'!$A$1,"Tv",U56,U$6)</f>
        <v>4.477505131711781</v>
      </c>
      <c r="U56" s="16">
        <f t="shared" si="30"/>
        <v>384.0052000051998</v>
      </c>
      <c r="V56" s="16">
        <f>_XLL.ENTROPY('data T-s chart'!$A$1,"Tv",W56,W$6)</f>
        <v>4.088760558861121</v>
      </c>
      <c r="W56" s="16">
        <f t="shared" si="31"/>
        <v>384.0052000051998</v>
      </c>
      <c r="Y56" s="16">
        <f>_XLL.ENTROPY('data T-s chart'!$A$1,"Tq",Z56,Z$5)</f>
        <v>3.2480268447840865</v>
      </c>
      <c r="Z56" s="16">
        <f t="shared" si="32"/>
        <v>179.49928000519992</v>
      </c>
      <c r="AA56" s="16">
        <f>_XLL.ENTROPY('data T-s chart'!$A$1,"Tq",AB56,AB$5)</f>
        <v>4.36136784730638</v>
      </c>
      <c r="AB56" s="16">
        <f t="shared" si="33"/>
        <v>179.49928000519992</v>
      </c>
      <c r="AC56" s="16">
        <f>_XLL.ENTROPY('data T-s chart'!$A$1,"Tq",AD56,AD$5)</f>
        <v>5.474708849828674</v>
      </c>
      <c r="AD56" s="16">
        <f t="shared" si="34"/>
        <v>179.49928000519992</v>
      </c>
    </row>
    <row r="57" spans="1:30" ht="12.75">
      <c r="A57" s="16">
        <f>_XLL.ENTROPY('data T-s chart'!$A$1,"Tq",B57,0)</f>
        <v>2.1713341337355128</v>
      </c>
      <c r="B57" s="16">
        <f t="shared" si="24"/>
        <v>183.28864000509992</v>
      </c>
      <c r="D57" s="16">
        <f>_XLL.ENTROPY('data T-s chart'!$A$1,"Tq",E57,1)</f>
        <v>6.5581092118626785</v>
      </c>
      <c r="E57" s="16">
        <f t="shared" si="25"/>
        <v>183.28864000509992</v>
      </c>
      <c r="G57" s="16">
        <f>_XLL.ENTROPY('data T-s chart'!$A$1,"PT",H$6,H57)</f>
        <v>8.397949234615869</v>
      </c>
      <c r="H57" s="16">
        <f t="shared" si="19"/>
        <v>353.49877311472795</v>
      </c>
      <c r="I57" s="16">
        <f>_XLL.ENTROPY('data T-s chart'!$A$1,"PT",J$6,J57)</f>
        <v>6.847635961089214</v>
      </c>
      <c r="J57" s="16">
        <f t="shared" si="20"/>
        <v>458.26358038128484</v>
      </c>
      <c r="K57" s="16">
        <f>_XLL.ENTROPY('data T-s chart'!$A$1,"PT",L$6,L57)</f>
        <v>3.948649603654258</v>
      </c>
      <c r="L57" s="16">
        <f t="shared" si="26"/>
        <v>366.4672800001998</v>
      </c>
      <c r="M57" s="16">
        <f>_XLL.ENTROPY('data T-s chart'!$A$1,"PT",N$6,N57)</f>
        <v>3.8295488275020038</v>
      </c>
      <c r="N57" s="16">
        <f t="shared" si="27"/>
        <v>392.0051000050998</v>
      </c>
      <c r="P57" s="16">
        <f>_XLL.ENTROPY('data T-s chart'!$A$1,"Tv",Q57,Q$6)</f>
        <v>7.6775103616615965</v>
      </c>
      <c r="Q57" s="16">
        <f t="shared" si="28"/>
        <v>392.0051000050998</v>
      </c>
      <c r="R57" s="16">
        <f>_XLL.ENTROPY('data T-s chart'!$A$1,"Tv",S57,S$6)</f>
        <v>5.523708428011644</v>
      </c>
      <c r="S57" s="16">
        <f t="shared" si="29"/>
        <v>392.0051000050998</v>
      </c>
      <c r="T57" s="16">
        <f>_XLL.ENTROPY('data T-s chart'!$A$1,"Tv",U57,U$6)</f>
        <v>4.523916505804877</v>
      </c>
      <c r="U57" s="16">
        <f t="shared" si="30"/>
        <v>392.0051000050998</v>
      </c>
      <c r="V57" s="16">
        <f>_XLL.ENTROPY('data T-s chart'!$A$1,"Tv",W57,W$6)</f>
        <v>4.126008416488493</v>
      </c>
      <c r="W57" s="16">
        <f t="shared" si="31"/>
        <v>392.0051000050998</v>
      </c>
      <c r="Y57" s="16">
        <f>_XLL.ENTROPY('data T-s chart'!$A$1,"Tq",Z57,Z$5)</f>
        <v>3.2677643003633623</v>
      </c>
      <c r="Z57" s="16">
        <f t="shared" si="32"/>
        <v>183.2386400050999</v>
      </c>
      <c r="AA57" s="16">
        <f>_XLL.ENTROPY('data T-s chart'!$A$1,"Tq",AB57,AB$5)</f>
        <v>4.364676778241035</v>
      </c>
      <c r="AB57" s="16">
        <f t="shared" si="33"/>
        <v>183.2386400050999</v>
      </c>
      <c r="AC57" s="16">
        <f>_XLL.ENTROPY('data T-s chart'!$A$1,"Tq",AD57,AD$5)</f>
        <v>5.461589256118708</v>
      </c>
      <c r="AD57" s="16">
        <f t="shared" si="34"/>
        <v>183.2386400050999</v>
      </c>
    </row>
    <row r="58" spans="1:30" ht="12.75">
      <c r="A58" s="16">
        <f>_XLL.ENTROPY('data T-s chart'!$A$1,"Tq",B58,0)</f>
        <v>2.207312309043119</v>
      </c>
      <c r="B58" s="16">
        <f t="shared" si="24"/>
        <v>187.0280000049999</v>
      </c>
      <c r="D58" s="16">
        <f>_XLL.ENTROPY('data T-s chart'!$A$1,"Tq",E58,1)</f>
        <v>6.5289380629546745</v>
      </c>
      <c r="E58" s="16">
        <f t="shared" si="25"/>
        <v>187.0280000049999</v>
      </c>
      <c r="G58" s="16">
        <f>_XLL.ENTROPY('data T-s chart'!$A$1,"PT",H$6,H58)</f>
        <v>8.426310619033433</v>
      </c>
      <c r="H58" s="16">
        <f t="shared" si="19"/>
        <v>362.25369913208624</v>
      </c>
      <c r="I58" s="16">
        <f>_XLL.ENTROPY('data T-s chart'!$A$1,"PT",J$6,J58)</f>
        <v>6.869145318420954</v>
      </c>
      <c r="J58" s="16">
        <f t="shared" si="20"/>
        <v>464.9642944914557</v>
      </c>
      <c r="K58" s="26">
        <f>_XLL.ENTROPY('data T-s chart'!$A$1,"PT",L$6,L58)</f>
        <v>4.412021482236349</v>
      </c>
      <c r="L58" s="26">
        <f>'data T-s chart'!$E$3</f>
        <v>373.946</v>
      </c>
      <c r="M58" s="16">
        <f>_XLL.ENTROPY('data T-s chart'!$A$1,"PT",N$6,N58)</f>
        <v>3.8968513056284317</v>
      </c>
      <c r="N58" s="16">
        <f t="shared" si="27"/>
        <v>400.0050000049998</v>
      </c>
      <c r="P58" s="16">
        <f>_XLL.ENTROPY('data T-s chart'!$A$1,"Tv",Q58,Q$6)</f>
        <v>7.696846556937199</v>
      </c>
      <c r="Q58" s="16">
        <f t="shared" si="28"/>
        <v>400.0050000049998</v>
      </c>
      <c r="R58" s="16">
        <f>_XLL.ENTROPY('data T-s chart'!$A$1,"Tv",S58,S$6)</f>
        <v>5.556381780837038</v>
      </c>
      <c r="S58" s="16">
        <f t="shared" si="29"/>
        <v>400.0050000049998</v>
      </c>
      <c r="T58" s="16">
        <f>_XLL.ENTROPY('data T-s chart'!$A$1,"Tv",U58,U$6)</f>
        <v>4.566796632392663</v>
      </c>
      <c r="U58" s="16">
        <f t="shared" si="30"/>
        <v>400.0050000049998</v>
      </c>
      <c r="V58" s="16">
        <f>_XLL.ENTROPY('data T-s chart'!$A$1,"Tv",W58,W$6)</f>
        <v>4.162124926971245</v>
      </c>
      <c r="W58" s="16">
        <f t="shared" si="31"/>
        <v>400.0050000049998</v>
      </c>
      <c r="Y58" s="16">
        <f>_XLL.ENTROPY('data T-s chart'!$A$1,"Tq",Z58,Z$5)</f>
        <v>3.287455758460138</v>
      </c>
      <c r="Z58" s="16">
        <f t="shared" si="32"/>
        <v>186.9780000049999</v>
      </c>
      <c r="AA58" s="16">
        <f>_XLL.ENTROPY('data T-s chart'!$A$1,"Tq",AB58,AB$5)</f>
        <v>4.368079094987037</v>
      </c>
      <c r="AB58" s="16">
        <f t="shared" si="33"/>
        <v>186.9780000049999</v>
      </c>
      <c r="AC58" s="16">
        <f>_XLL.ENTROPY('data T-s chart'!$A$1,"Tq",AD58,AD$5)</f>
        <v>5.4487024315139365</v>
      </c>
      <c r="AD58" s="16">
        <f t="shared" si="34"/>
        <v>186.9780000049999</v>
      </c>
    </row>
    <row r="59" spans="1:30" ht="12.75">
      <c r="A59" s="16">
        <f>_XLL.ENTROPY('data T-s chart'!$A$1,"Tq",B59,0)</f>
        <v>2.2431132928953805</v>
      </c>
      <c r="B59" s="16">
        <f t="shared" si="24"/>
        <v>190.7673600048999</v>
      </c>
      <c r="D59" s="16">
        <f>_XLL.ENTROPY('data T-s chart'!$A$1,"Tq",E59,1)</f>
        <v>6.500115380032597</v>
      </c>
      <c r="E59" s="16">
        <f t="shared" si="25"/>
        <v>190.7673600048999</v>
      </c>
      <c r="G59" s="16">
        <f>_XLL.ENTROPY('data T-s chart'!$A$1,"PT",H$6,H59)</f>
        <v>8.454354774687344</v>
      </c>
      <c r="H59" s="16">
        <f t="shared" si="19"/>
        <v>371.0086251494445</v>
      </c>
      <c r="I59" s="16">
        <f>_XLL.ENTROPY('data T-s chart'!$A$1,"PT",J$6,J59)</f>
        <v>6.8904070468526335</v>
      </c>
      <c r="J59" s="16">
        <f t="shared" si="20"/>
        <v>471.66500860162654</v>
      </c>
      <c r="K59" s="16">
        <f>_XLL.ENTROPY('data T-s chart'!$A$1,"PT",L$6,L59)</f>
        <v>5.112178308456133</v>
      </c>
      <c r="L59" s="16">
        <f aca="true" t="shared" si="35" ref="L59:L90">L58+(L$108-L$58)/50</f>
        <v>382.46708</v>
      </c>
      <c r="M59" s="16">
        <f>_XLL.ENTROPY('data T-s chart'!$A$1,"PT",N$6,N59)</f>
        <v>3.965072559051231</v>
      </c>
      <c r="N59" s="16">
        <f t="shared" si="27"/>
        <v>408.00490000489975</v>
      </c>
      <c r="P59" s="16">
        <f>_XLL.ENTROPY('data T-s chart'!$A$1,"Tv",Q59,Q$6)</f>
        <v>7.716007716532437</v>
      </c>
      <c r="Q59" s="16">
        <f t="shared" si="28"/>
        <v>408.00490000489975</v>
      </c>
      <c r="R59" s="16">
        <f>_XLL.ENTROPY('data T-s chart'!$A$1,"Tv",S59,S$6)</f>
        <v>5.5878361561457925</v>
      </c>
      <c r="S59" s="16">
        <f t="shared" si="29"/>
        <v>408.00490000489975</v>
      </c>
      <c r="T59" s="16">
        <f>_XLL.ENTROPY('data T-s chart'!$A$1,"Tv",U59,U$6)</f>
        <v>4.607053763811123</v>
      </c>
      <c r="U59" s="16">
        <f t="shared" si="30"/>
        <v>408.00490000489975</v>
      </c>
      <c r="V59" s="16">
        <f>_XLL.ENTROPY('data T-s chart'!$A$1,"Tv",W59,W$6)</f>
        <v>4.197283146970372</v>
      </c>
      <c r="W59" s="16">
        <f t="shared" si="31"/>
        <v>408.00490000489975</v>
      </c>
      <c r="Y59" s="16">
        <f>_XLL.ENTROPY('data T-s chart'!$A$1,"Tq",Z59,Z$5)</f>
        <v>3.3071014357546957</v>
      </c>
      <c r="Z59" s="16">
        <f t="shared" si="32"/>
        <v>190.7173600048999</v>
      </c>
      <c r="AA59" s="16">
        <f>_XLL.ENTROPY('data T-s chart'!$A$1,"Tq",AB59,AB$5)</f>
        <v>4.3715671499907796</v>
      </c>
      <c r="AB59" s="16">
        <f t="shared" si="33"/>
        <v>190.7173600048999</v>
      </c>
      <c r="AC59" s="16">
        <f>_XLL.ENTROPY('data T-s chart'!$A$1,"Tq",AD59,AD$5)</f>
        <v>5.436032864226864</v>
      </c>
      <c r="AD59" s="16">
        <f t="shared" si="34"/>
        <v>190.7173600048999</v>
      </c>
    </row>
    <row r="60" spans="1:30" ht="12.75">
      <c r="A60" s="16">
        <f>_XLL.ENTROPY('data T-s chart'!$A$1,"Tq",B60,0)</f>
        <v>2.278745223939837</v>
      </c>
      <c r="B60" s="16">
        <f t="shared" si="24"/>
        <v>194.5067200047999</v>
      </c>
      <c r="D60" s="16">
        <f>_XLL.ENTROPY('data T-s chart'!$A$1,"Tq",E60,1)</f>
        <v>6.471618099423247</v>
      </c>
      <c r="E60" s="16">
        <f t="shared" si="25"/>
        <v>194.5067200047999</v>
      </c>
      <c r="G60" s="16">
        <f>_XLL.ENTROPY('data T-s chart'!$A$1,"PT",H$6,H60)</f>
        <v>8.482091166474538</v>
      </c>
      <c r="H60" s="16">
        <f t="shared" si="19"/>
        <v>379.7635511668028</v>
      </c>
      <c r="I60" s="16">
        <f>_XLL.ENTROPY('data T-s chart'!$A$1,"PT",J$6,J60)</f>
        <v>6.911431589945677</v>
      </c>
      <c r="J60" s="16">
        <f t="shared" si="20"/>
        <v>478.3657227117974</v>
      </c>
      <c r="K60" s="16">
        <f>_XLL.ENTROPY('data T-s chart'!$A$1,"PT",L$6,L60)</f>
        <v>5.276589744444189</v>
      </c>
      <c r="L60" s="16">
        <f t="shared" si="35"/>
        <v>390.98816</v>
      </c>
      <c r="M60" s="16">
        <f>_XLL.ENTROPY('data T-s chart'!$A$1,"PT",N$6,N60)</f>
        <v>4.03436433895449</v>
      </c>
      <c r="N60" s="16">
        <f t="shared" si="27"/>
        <v>416.00480000479973</v>
      </c>
      <c r="P60" s="16">
        <f>_XLL.ENTROPY('data T-s chart'!$A$1,"Tv",Q60,Q$6)</f>
        <v>7.734998814678893</v>
      </c>
      <c r="Q60" s="16">
        <f t="shared" si="28"/>
        <v>416.00480000479973</v>
      </c>
      <c r="R60" s="16">
        <f>_XLL.ENTROPY('data T-s chart'!$A$1,"Tv",S60,S$6)</f>
        <v>5.61821159626469</v>
      </c>
      <c r="S60" s="16">
        <f t="shared" si="29"/>
        <v>416.00480000479973</v>
      </c>
      <c r="T60" s="16">
        <f>_XLL.ENTROPY('data T-s chart'!$A$1,"Tv",U60,U$6)</f>
        <v>4.645302859515715</v>
      </c>
      <c r="U60" s="16">
        <f t="shared" si="30"/>
        <v>416.00480000479973</v>
      </c>
      <c r="V60" s="16">
        <f>_XLL.ENTROPY('data T-s chart'!$A$1,"Tv",W60,W$6)</f>
        <v>4.231593964826052</v>
      </c>
      <c r="W60" s="16">
        <f t="shared" si="31"/>
        <v>416.00480000479973</v>
      </c>
      <c r="Y60" s="16">
        <f>_XLL.ENTROPY('data T-s chart'!$A$1,"Tq",Z60,Z$5)</f>
        <v>3.326701668706484</v>
      </c>
      <c r="Z60" s="16">
        <f t="shared" si="32"/>
        <v>194.45672000479988</v>
      </c>
      <c r="AA60" s="16">
        <f>_XLL.ENTROPY('data T-s chart'!$A$1,"Tq",AB60,AB$5)</f>
        <v>4.375133478378009</v>
      </c>
      <c r="AB60" s="16">
        <f t="shared" si="33"/>
        <v>194.45672000479988</v>
      </c>
      <c r="AC60" s="16">
        <f>_XLL.ENTROPY('data T-s chart'!$A$1,"Tq",AD60,AD$5)</f>
        <v>5.4235652880495335</v>
      </c>
      <c r="AD60" s="16">
        <f t="shared" si="34"/>
        <v>194.45672000479988</v>
      </c>
    </row>
    <row r="61" spans="1:30" ht="12.75">
      <c r="A61" s="16">
        <f>_XLL.ENTROPY('data T-s chart'!$A$1,"Tq",B61,0)</f>
        <v>2.3142163119682553</v>
      </c>
      <c r="B61" s="16">
        <f t="shared" si="24"/>
        <v>198.24608000469988</v>
      </c>
      <c r="D61" s="16">
        <f>_XLL.ENTROPY('data T-s chart'!$A$1,"Tq",E61,1)</f>
        <v>6.443423428472693</v>
      </c>
      <c r="E61" s="16">
        <f t="shared" si="25"/>
        <v>198.24608000469988</v>
      </c>
      <c r="G61" s="16">
        <f>_XLL.ENTROPY('data T-s chart'!$A$1,"PT",H$6,H61)</f>
        <v>8.509528820522709</v>
      </c>
      <c r="H61" s="16">
        <f aca="true" t="shared" si="36" ref="H61:H92">H60+(H$108-H$28)/80</f>
        <v>388.5184771841611</v>
      </c>
      <c r="I61" s="16">
        <f>_XLL.ENTROPY('data T-s chart'!$A$1,"PT",J$6,J61)</f>
        <v>6.93222859698574</v>
      </c>
      <c r="J61" s="16">
        <f aca="true" t="shared" si="37" ref="J61:J92">J60+(J$108-J$28)/80</f>
        <v>485.06643682196824</v>
      </c>
      <c r="K61" s="16">
        <f>_XLL.ENTROPY('data T-s chart'!$A$1,"PT",L$6,L61)</f>
        <v>5.394093060412351</v>
      </c>
      <c r="L61" s="16">
        <f t="shared" si="35"/>
        <v>399.50924</v>
      </c>
      <c r="M61" s="16">
        <f>_XLL.ENTROPY('data T-s chart'!$A$1,"PT",N$6,N61)</f>
        <v>4.104866101656553</v>
      </c>
      <c r="N61" s="16">
        <f t="shared" si="27"/>
        <v>424.0047000046997</v>
      </c>
      <c r="P61" s="16">
        <f>_XLL.ENTROPY('data T-s chart'!$A$1,"Tv",Q61,Q$6)</f>
        <v>7.75382458697218</v>
      </c>
      <c r="Q61" s="16">
        <f t="shared" si="28"/>
        <v>424.0047000046997</v>
      </c>
      <c r="R61" s="16">
        <f>_XLL.ENTROPY('data T-s chart'!$A$1,"Tv",S61,S$6)</f>
        <v>5.647625527007993</v>
      </c>
      <c r="S61" s="16">
        <f t="shared" si="29"/>
        <v>424.0047000046997</v>
      </c>
      <c r="T61" s="16">
        <f>_XLL.ENTROPY('data T-s chart'!$A$1,"Tv",U61,U$6)</f>
        <v>4.6819588132197865</v>
      </c>
      <c r="U61" s="16">
        <f t="shared" si="30"/>
        <v>424.0047000046997</v>
      </c>
      <c r="V61" s="16">
        <f>_XLL.ENTROPY('data T-s chart'!$A$1,"Tv",W61,W$6)</f>
        <v>4.265128403086752</v>
      </c>
      <c r="W61" s="16">
        <f t="shared" si="31"/>
        <v>424.0047000046997</v>
      </c>
      <c r="Y61" s="16">
        <f>_XLL.ENTROPY('data T-s chart'!$A$1,"Tq",Z61,Z$5)</f>
        <v>3.3462569148630177</v>
      </c>
      <c r="Z61" s="16">
        <f t="shared" si="32"/>
        <v>198.19608000469987</v>
      </c>
      <c r="AA61" s="16">
        <f>_XLL.ENTROPY('data T-s chart'!$A$1,"Tq",AB61,AB$5)</f>
        <v>4.378770786499251</v>
      </c>
      <c r="AB61" s="16">
        <f t="shared" si="33"/>
        <v>198.19608000469987</v>
      </c>
      <c r="AC61" s="16">
        <f>_XLL.ENTROPY('data T-s chart'!$A$1,"Tq",AD61,AD$5)</f>
        <v>5.411284658135485</v>
      </c>
      <c r="AD61" s="16">
        <f t="shared" si="34"/>
        <v>198.19608000469987</v>
      </c>
    </row>
    <row r="62" spans="1:30" ht="12.75">
      <c r="A62" s="16">
        <f>_XLL.ENTROPY('data T-s chart'!$A$1,"Tq",B62,0)</f>
        <v>2.349534852745688</v>
      </c>
      <c r="B62" s="16">
        <f t="shared" si="24"/>
        <v>201.98544000459987</v>
      </c>
      <c r="D62" s="16">
        <f>_XLL.ENTROPY('data T-s chart'!$A$1,"Tq",E62,1)</f>
        <v>6.415508810319121</v>
      </c>
      <c r="E62" s="16">
        <f t="shared" si="25"/>
        <v>201.98544000459987</v>
      </c>
      <c r="G62" s="16">
        <f>_XLL.ENTROPY('data T-s chart'!$A$1,"PT",H$6,H62)</f>
        <v>8.53667635421342</v>
      </c>
      <c r="H62" s="16">
        <f t="shared" si="36"/>
        <v>397.2734032015194</v>
      </c>
      <c r="I62" s="16">
        <f>_XLL.ENTROPY('data T-s chart'!$A$1,"PT",J$6,J62)</f>
        <v>6.952807004848629</v>
      </c>
      <c r="J62" s="16">
        <f t="shared" si="37"/>
        <v>491.7671509321391</v>
      </c>
      <c r="K62" s="16">
        <f>_XLL.ENTROPY('data T-s chart'!$A$1,"PT",L$6,L62)</f>
        <v>5.488363789287854</v>
      </c>
      <c r="L62" s="16">
        <f t="shared" si="35"/>
        <v>408.03031999999996</v>
      </c>
      <c r="M62" s="16">
        <f>_XLL.ENTROPY('data T-s chart'!$A$1,"PT",N$6,N62)</f>
        <v>4.176688112865715</v>
      </c>
      <c r="N62" s="16">
        <f t="shared" si="27"/>
        <v>432.0046000045997</v>
      </c>
      <c r="P62" s="16">
        <f>_XLL.ENTROPY('data T-s chart'!$A$1,"Tv",Q62,Q$6)</f>
        <v>7.772489547723185</v>
      </c>
      <c r="Q62" s="16">
        <f t="shared" si="28"/>
        <v>432.0046000045997</v>
      </c>
      <c r="R62" s="16">
        <f>_XLL.ENTROPY('data T-s chart'!$A$1,"Tv",S62,S$6)</f>
        <v>5.676173159004835</v>
      </c>
      <c r="S62" s="16">
        <f t="shared" si="29"/>
        <v>432.0046000045997</v>
      </c>
      <c r="T62" s="16">
        <f>_XLL.ENTROPY('data T-s chart'!$A$1,"Tv",U62,U$6)</f>
        <v>4.717301516976587</v>
      </c>
      <c r="U62" s="16">
        <f t="shared" si="30"/>
        <v>432.0046000045997</v>
      </c>
      <c r="V62" s="16">
        <f>_XLL.ENTROPY('data T-s chart'!$A$1,"Tv",W62,W$6)</f>
        <v>4.297933448954619</v>
      </c>
      <c r="W62" s="16">
        <f t="shared" si="31"/>
        <v>432.0046000045997</v>
      </c>
      <c r="Y62" s="16">
        <f>_XLL.ENTROPY('data T-s chart'!$A$1,"Tq",Z62,Z$5)</f>
        <v>3.365767755163558</v>
      </c>
      <c r="Z62" s="16">
        <f t="shared" si="32"/>
        <v>201.93544000459985</v>
      </c>
      <c r="AA62" s="16">
        <f>_XLL.ENTROPY('data T-s chart'!$A$1,"Tq",AB62,AB$5)</f>
        <v>4.382471941719171</v>
      </c>
      <c r="AB62" s="16">
        <f t="shared" si="33"/>
        <v>201.93544000459985</v>
      </c>
      <c r="AC62" s="16">
        <f>_XLL.ENTROPY('data T-s chart'!$A$1,"Tq",AD62,AD$5)</f>
        <v>5.399176128274783</v>
      </c>
      <c r="AD62" s="16">
        <f t="shared" si="34"/>
        <v>201.93544000459985</v>
      </c>
    </row>
    <row r="63" spans="1:30" ht="12.75">
      <c r="A63" s="16">
        <f>_XLL.ENTROPY('data T-s chart'!$A$1,"Tq",B63,0)</f>
        <v>2.384709243757603</v>
      </c>
      <c r="B63" s="16">
        <f t="shared" si="24"/>
        <v>205.72480000449985</v>
      </c>
      <c r="D63" s="16">
        <f>_XLL.ENTROPY('data T-s chart'!$A$1,"Tq",E63,1)</f>
        <v>6.3878518888280915</v>
      </c>
      <c r="E63" s="16">
        <f t="shared" si="25"/>
        <v>205.72480000449985</v>
      </c>
      <c r="G63" s="16">
        <f>_XLL.ENTROPY('data T-s chart'!$A$1,"PT",H$6,H63)</f>
        <v>8.563542003145754</v>
      </c>
      <c r="H63" s="16">
        <f t="shared" si="36"/>
        <v>406.0283292188777</v>
      </c>
      <c r="I63" s="16">
        <f>_XLL.ENTROPY('data T-s chart'!$A$1,"PT",J$6,J63)</f>
        <v>6.9731751099788815</v>
      </c>
      <c r="J63" s="16">
        <f t="shared" si="37"/>
        <v>498.46786504230994</v>
      </c>
      <c r="K63" s="16">
        <f>_XLL.ENTROPY('data T-s chart'!$A$1,"PT",L$6,L63)</f>
        <v>5.568364561868015</v>
      </c>
      <c r="L63" s="16">
        <f t="shared" si="35"/>
        <v>416.55139999999994</v>
      </c>
      <c r="M63" s="16">
        <f>_XLL.ENTROPY('data T-s chart'!$A$1,"PT",N$6,N63)</f>
        <v>4.2498918335880775</v>
      </c>
      <c r="N63" s="16">
        <f t="shared" si="27"/>
        <v>440.0045000044997</v>
      </c>
      <c r="P63" s="16">
        <f>_XLL.ENTROPY('data T-s chart'!$A$1,"Tv",Q63,Q$6)</f>
        <v>7.790998004705846</v>
      </c>
      <c r="Q63" s="16">
        <f t="shared" si="28"/>
        <v>440.0045000044997</v>
      </c>
      <c r="R63" s="16">
        <f>_XLL.ENTROPY('data T-s chart'!$A$1,"Tv",S63,S$6)</f>
        <v>5.703931519733507</v>
      </c>
      <c r="S63" s="16">
        <f t="shared" si="29"/>
        <v>440.0045000044997</v>
      </c>
      <c r="T63" s="16">
        <f>_XLL.ENTROPY('data T-s chart'!$A$1,"Tv",U63,U$6)</f>
        <v>4.7515209162206595</v>
      </c>
      <c r="U63" s="16">
        <f t="shared" si="30"/>
        <v>440.0045000044997</v>
      </c>
      <c r="V63" s="16">
        <f>_XLL.ENTROPY('data T-s chart'!$A$1,"Tv",W63,W$6)</f>
        <v>4.330042881108968</v>
      </c>
      <c r="W63" s="16">
        <f t="shared" si="31"/>
        <v>440.0045000044997</v>
      </c>
      <c r="Y63" s="16">
        <f>_XLL.ENTROPY('data T-s chart'!$A$1,"Tq",Z63,Z$5)</f>
        <v>3.3852348969748607</v>
      </c>
      <c r="Z63" s="16">
        <f t="shared" si="32"/>
        <v>205.67480000449984</v>
      </c>
      <c r="AA63" s="16">
        <f>_XLL.ENTROPY('data T-s chart'!$A$1,"Tq",AB63,AB$5)</f>
        <v>4.386229962754447</v>
      </c>
      <c r="AB63" s="16">
        <f t="shared" si="33"/>
        <v>205.67480000449984</v>
      </c>
      <c r="AC63" s="16">
        <f>_XLL.ENTROPY('data T-s chart'!$A$1,"Tq",AD63,AD$5)</f>
        <v>5.387225028534033</v>
      </c>
      <c r="AD63" s="16">
        <f t="shared" si="34"/>
        <v>205.67480000449984</v>
      </c>
    </row>
    <row r="64" spans="1:30" ht="12.75">
      <c r="A64" s="16">
        <f>_XLL.ENTROPY('data T-s chart'!$A$1,"Tq",B64,0)</f>
        <v>2.419748001072324</v>
      </c>
      <c r="B64" s="16">
        <f t="shared" si="24"/>
        <v>209.46416000439984</v>
      </c>
      <c r="D64" s="16">
        <f>_XLL.ENTROPY('data T-s chart'!$A$1,"Tq",E64,1)</f>
        <v>6.360430472415569</v>
      </c>
      <c r="E64" s="16">
        <f t="shared" si="25"/>
        <v>209.46416000439984</v>
      </c>
      <c r="G64" s="16">
        <f>_XLL.ENTROPY('data T-s chart'!$A$1,"PT",H$6,H64)</f>
        <v>8.590133645444842</v>
      </c>
      <c r="H64" s="16">
        <f t="shared" si="36"/>
        <v>414.78325523623596</v>
      </c>
      <c r="I64" s="16">
        <f>_XLL.ENTROPY('data T-s chart'!$A$1,"PT",J$6,J64)</f>
        <v>6.993340631792821</v>
      </c>
      <c r="J64" s="16">
        <f t="shared" si="37"/>
        <v>505.1685791524808</v>
      </c>
      <c r="K64" s="16">
        <f>_XLL.ENTROPY('data T-s chart'!$A$1,"PT",L$6,L64)</f>
        <v>5.638705311935172</v>
      </c>
      <c r="L64" s="16">
        <f t="shared" si="35"/>
        <v>425.0724799999999</v>
      </c>
      <c r="M64" s="16">
        <f>_XLL.ENTROPY('data T-s chart'!$A$1,"PT",N$6,N64)</f>
        <v>4.324466707474306</v>
      </c>
      <c r="N64" s="16">
        <f t="shared" si="27"/>
        <v>448.00440000439966</v>
      </c>
      <c r="P64" s="16">
        <f>_XLL.ENTROPY('data T-s chart'!$A$1,"Tv",Q64,Q$6)</f>
        <v>7.809354077930467</v>
      </c>
      <c r="Q64" s="16">
        <f t="shared" si="28"/>
        <v>448.00440000439966</v>
      </c>
      <c r="R64" s="16">
        <f>_XLL.ENTROPY('data T-s chart'!$A$1,"Tv",S64,S$6)</f>
        <v>5.730963997367951</v>
      </c>
      <c r="S64" s="16">
        <f t="shared" si="29"/>
        <v>448.00440000439966</v>
      </c>
      <c r="T64" s="16">
        <f>_XLL.ENTROPY('data T-s chart'!$A$1,"Tv",U64,U$6)</f>
        <v>4.784747915237327</v>
      </c>
      <c r="U64" s="16">
        <f t="shared" si="30"/>
        <v>448.00440000439966</v>
      </c>
      <c r="V64" s="16">
        <f>_XLL.ENTROPY('data T-s chart'!$A$1,"Tv",W64,W$6)</f>
        <v>4.361484347575927</v>
      </c>
      <c r="W64" s="16">
        <f t="shared" si="31"/>
        <v>448.00440000439966</v>
      </c>
      <c r="Y64" s="16">
        <f>_XLL.ENTROPY('data T-s chart'!$A$1,"Tq",Z64,Z$5)</f>
        <v>3.4046591776869772</v>
      </c>
      <c r="Z64" s="16">
        <f t="shared" si="32"/>
        <v>209.41416000439983</v>
      </c>
      <c r="AA64" s="16">
        <f>_XLL.ENTROPY('data T-s chart'!$A$1,"Tq",AB64,AB$5)</f>
        <v>4.390038010019286</v>
      </c>
      <c r="AB64" s="16">
        <f t="shared" si="33"/>
        <v>209.41416000439983</v>
      </c>
      <c r="AC64" s="16">
        <f>_XLL.ENTROPY('data T-s chart'!$A$1,"Tq",AD64,AD$5)</f>
        <v>5.375416842351596</v>
      </c>
      <c r="AD64" s="16">
        <f t="shared" si="34"/>
        <v>209.41416000439983</v>
      </c>
    </row>
    <row r="65" spans="1:30" ht="12.75">
      <c r="A65" s="16">
        <f>_XLL.ENTROPY('data T-s chart'!$A$1,"Tq",B65,0)</f>
        <v>2.4546597775487164</v>
      </c>
      <c r="B65" s="16">
        <f t="shared" si="24"/>
        <v>213.20352000429983</v>
      </c>
      <c r="D65" s="16">
        <f>_XLL.ENTROPY('data T-s chart'!$A$1,"Tq",E65,1)</f>
        <v>6.333222495802666</v>
      </c>
      <c r="E65" s="16">
        <f t="shared" si="25"/>
        <v>213.20352000429983</v>
      </c>
      <c r="G65" s="16">
        <f>_XLL.ENTROPY('data T-s chart'!$A$1,"PT",H$6,H65)</f>
        <v>8.616458823757807</v>
      </c>
      <c r="H65" s="16">
        <f t="shared" si="36"/>
        <v>423.53818125359425</v>
      </c>
      <c r="I65" s="16">
        <f>_XLL.ENTROPY('data T-s chart'!$A$1,"PT",J$6,J65)</f>
        <v>7.013310768629779</v>
      </c>
      <c r="J65" s="16">
        <f t="shared" si="37"/>
        <v>511.86929326265164</v>
      </c>
      <c r="K65" s="16">
        <f>_XLL.ENTROPY('data T-s chart'!$A$1,"PT",L$6,L65)</f>
        <v>5.7019935529218575</v>
      </c>
      <c r="L65" s="16">
        <f t="shared" si="35"/>
        <v>433.5935599999999</v>
      </c>
      <c r="M65" s="16">
        <f>_XLL.ENTROPY('data T-s chart'!$A$1,"PT",N$6,N65)</f>
        <v>4.400304163612581</v>
      </c>
      <c r="N65" s="16">
        <f t="shared" si="27"/>
        <v>456.00430000429964</v>
      </c>
      <c r="P65" s="16">
        <f>_XLL.ENTROPY('data T-s chart'!$A$1,"Tv",Q65,Q$6)</f>
        <v>7.827561700774742</v>
      </c>
      <c r="Q65" s="16">
        <f t="shared" si="28"/>
        <v>456.00430000429964</v>
      </c>
      <c r="R65" s="16">
        <f>_XLL.ENTROPY('data T-s chart'!$A$1,"Tv",S65,S$6)</f>
        <v>5.757324050126982</v>
      </c>
      <c r="S65" s="16">
        <f t="shared" si="29"/>
        <v>456.00430000429964</v>
      </c>
      <c r="T65" s="16">
        <f>_XLL.ENTROPY('data T-s chart'!$A$1,"Tv",U65,U$6)</f>
        <v>4.8170753327433875</v>
      </c>
      <c r="U65" s="16">
        <f t="shared" si="30"/>
        <v>456.00430000429964</v>
      </c>
      <c r="V65" s="16">
        <f>_XLL.ENTROPY('data T-s chart'!$A$1,"Tv",W65,W$6)</f>
        <v>4.392283717042776</v>
      </c>
      <c r="W65" s="16">
        <f t="shared" si="31"/>
        <v>456.00430000429964</v>
      </c>
      <c r="Y65" s="16">
        <f>_XLL.ENTROPY('data T-s chart'!$A$1,"Tq",Z65,Z$5)</f>
        <v>3.42404156880112</v>
      </c>
      <c r="Z65" s="16">
        <f t="shared" si="32"/>
        <v>213.15352000429982</v>
      </c>
      <c r="AA65" s="16">
        <f>_XLL.ENTROPY('data T-s chart'!$A$1,"Tq",AB65,AB$5)</f>
        <v>4.393889375613144</v>
      </c>
      <c r="AB65" s="16">
        <f t="shared" si="33"/>
        <v>213.15352000429982</v>
      </c>
      <c r="AC65" s="16">
        <f>_XLL.ENTROPY('data T-s chart'!$A$1,"Tq",AD65,AD$5)</f>
        <v>5.363737182425167</v>
      </c>
      <c r="AD65" s="16">
        <f t="shared" si="34"/>
        <v>213.15352000429982</v>
      </c>
    </row>
    <row r="66" spans="1:30" ht="12.75">
      <c r="A66" s="16">
        <f>_XLL.ENTROPY('data T-s chart'!$A$1,"Tq",B66,0)</f>
        <v>2.489453382658293</v>
      </c>
      <c r="B66" s="16">
        <f t="shared" si="24"/>
        <v>216.94288000419982</v>
      </c>
      <c r="D66" s="16">
        <f>_XLL.ENTROPY('data T-s chart'!$A$1,"Tq",E66,1)</f>
        <v>6.30620597902473</v>
      </c>
      <c r="E66" s="16">
        <f t="shared" si="25"/>
        <v>216.94288000419982</v>
      </c>
      <c r="G66" s="16">
        <f>_XLL.ENTROPY('data T-s chart'!$A$1,"PT",H$6,H66)</f>
        <v>8.642524765228252</v>
      </c>
      <c r="H66" s="16">
        <f t="shared" si="36"/>
        <v>432.29310727095253</v>
      </c>
      <c r="I66" s="16">
        <f>_XLL.ENTROPY('data T-s chart'!$A$1,"PT",J$6,J66)</f>
        <v>7.033092247216631</v>
      </c>
      <c r="J66" s="16">
        <f t="shared" si="37"/>
        <v>518.5700073728225</v>
      </c>
      <c r="K66" s="16">
        <f>_XLL.ENTROPY('data T-s chart'!$A$1,"PT",L$6,L66)</f>
        <v>5.759845052637963</v>
      </c>
      <c r="L66" s="16">
        <f t="shared" si="35"/>
        <v>442.1146399999999</v>
      </c>
      <c r="M66" s="16">
        <f>_XLL.ENTROPY('data T-s chart'!$A$1,"PT",N$6,N66)</f>
        <v>4.477173103937152</v>
      </c>
      <c r="N66" s="16">
        <f t="shared" si="27"/>
        <v>464.0042000041996</v>
      </c>
      <c r="P66" s="16">
        <f>_XLL.ENTROPY('data T-s chart'!$A$1,"Tv",Q66,Q$6)</f>
        <v>7.845624653214442</v>
      </c>
      <c r="Q66" s="16">
        <f t="shared" si="28"/>
        <v>464.0042000041996</v>
      </c>
      <c r="R66" s="16">
        <f>_XLL.ENTROPY('data T-s chart'!$A$1,"Tv",S66,S$6)</f>
        <v>5.783057883772717</v>
      </c>
      <c r="S66" s="16">
        <f t="shared" si="29"/>
        <v>464.0042000041996</v>
      </c>
      <c r="T66" s="16">
        <f>_XLL.ENTROPY('data T-s chart'!$A$1,"Tv",U66,U$6)</f>
        <v>4.848571908214587</v>
      </c>
      <c r="U66" s="16">
        <f t="shared" si="30"/>
        <v>464.0042000041996</v>
      </c>
      <c r="V66" s="16">
        <f>_XLL.ENTROPY('data T-s chart'!$A$1,"Tv",W66,W$6)</f>
        <v>4.422467507845131</v>
      </c>
      <c r="W66" s="16">
        <f t="shared" si="31"/>
        <v>464.0042000041996</v>
      </c>
      <c r="Y66" s="16">
        <f>_XLL.ENTROPY('data T-s chart'!$A$1,"Tq",Z66,Z$5)</f>
        <v>3.443383180540904</v>
      </c>
      <c r="Z66" s="16">
        <f t="shared" si="32"/>
        <v>216.8928800041998</v>
      </c>
      <c r="AA66" s="16">
        <f>_XLL.ENTROPY('data T-s chart'!$A$1,"Tq",AB66,AB$5)</f>
        <v>4.397777472744643</v>
      </c>
      <c r="AB66" s="16">
        <f t="shared" si="33"/>
        <v>216.8928800041998</v>
      </c>
      <c r="AC66" s="16">
        <f>_XLL.ENTROPY('data T-s chart'!$A$1,"Tq",AD66,AD$5)</f>
        <v>5.352171764948381</v>
      </c>
      <c r="AD66" s="16">
        <f t="shared" si="34"/>
        <v>216.8928800041998</v>
      </c>
    </row>
    <row r="67" spans="1:30" ht="12.75">
      <c r="A67" s="16">
        <f>_XLL.ENTROPY('data T-s chart'!$A$1,"Tq",B67,0)</f>
        <v>2.524137804237632</v>
      </c>
      <c r="B67" s="16">
        <f t="shared" si="24"/>
        <v>220.6822400040998</v>
      </c>
      <c r="D67" s="16">
        <f>_XLL.ENTROPY('data T-s chart'!$A$1,"Tq",E67,1)</f>
        <v>6.279358983189262</v>
      </c>
      <c r="E67" s="16">
        <f t="shared" si="25"/>
        <v>220.6822400040998</v>
      </c>
      <c r="G67" s="16">
        <f>_XLL.ENTROPY('data T-s chart'!$A$1,"PT",H$6,H67)</f>
        <v>8.668338399697937</v>
      </c>
      <c r="H67" s="16">
        <f t="shared" si="36"/>
        <v>441.0480332883108</v>
      </c>
      <c r="I67" s="16">
        <f>_XLL.ENTROPY('data T-s chart'!$A$1,"PT",J$6,J67)</f>
        <v>7.0526913664764095</v>
      </c>
      <c r="J67" s="16">
        <f t="shared" si="37"/>
        <v>525.2707214829934</v>
      </c>
      <c r="K67" s="16">
        <f>_XLL.ENTROPY('data T-s chart'!$A$1,"PT",L$6,L67)</f>
        <v>5.813349298047169</v>
      </c>
      <c r="L67" s="16">
        <f t="shared" si="35"/>
        <v>450.6357199999999</v>
      </c>
      <c r="M67" s="16">
        <f>_XLL.ENTROPY('data T-s chart'!$A$1,"PT",N$6,N67)</f>
        <v>4.554705301736934</v>
      </c>
      <c r="N67" s="16">
        <f t="shared" si="27"/>
        <v>472.0041000040996</v>
      </c>
      <c r="P67" s="16">
        <f>_XLL.ENTROPY('data T-s chart'!$A$1,"Tv",Q67,Q$6)</f>
        <v>7.86354654033175</v>
      </c>
      <c r="Q67" s="16">
        <f t="shared" si="28"/>
        <v>472.0041000040996</v>
      </c>
      <c r="R67" s="16">
        <f>_XLL.ENTROPY('data T-s chart'!$A$1,"Tv",S67,S$6)</f>
        <v>5.808206259095736</v>
      </c>
      <c r="S67" s="16">
        <f t="shared" si="29"/>
        <v>472.0041000040996</v>
      </c>
      <c r="T67" s="16">
        <f>_XLL.ENTROPY('data T-s chart'!$A$1,"Tv",U67,U$6)</f>
        <v>4.879291494799919</v>
      </c>
      <c r="U67" s="16">
        <f t="shared" si="30"/>
        <v>472.0041000040996</v>
      </c>
      <c r="V67" s="16">
        <f>_XLL.ENTROPY('data T-s chart'!$A$1,"Tv",W67,W$6)</f>
        <v>4.4520640091302175</v>
      </c>
      <c r="W67" s="16">
        <f t="shared" si="31"/>
        <v>472.0041000040996</v>
      </c>
      <c r="Y67" s="16">
        <f>_XLL.ENTROPY('data T-s chart'!$A$1,"Tq",Z67,Z$5)</f>
        <v>3.4626852670966963</v>
      </c>
      <c r="Z67" s="16">
        <f t="shared" si="32"/>
        <v>220.6322400040998</v>
      </c>
      <c r="AA67" s="16">
        <f>_XLL.ENTROPY('data T-s chart'!$A$1,"Tq",AB67,AB$5)</f>
        <v>4.401695824495992</v>
      </c>
      <c r="AB67" s="16">
        <f t="shared" si="33"/>
        <v>220.6322400040998</v>
      </c>
      <c r="AC67" s="16">
        <f>_XLL.ENTROPY('data T-s chart'!$A$1,"Tq",AD67,AD$5)</f>
        <v>5.340706381895287</v>
      </c>
      <c r="AD67" s="16">
        <f t="shared" si="34"/>
        <v>220.6322400040998</v>
      </c>
    </row>
    <row r="68" spans="1:30" ht="12.75">
      <c r="A68" s="16">
        <f>_XLL.ENTROPY('data T-s chart'!$A$1,"Tq",B68,0)</f>
        <v>2.5587222325423187</v>
      </c>
      <c r="B68" s="16">
        <f t="shared" si="24"/>
        <v>224.4216000039998</v>
      </c>
      <c r="D68" s="16">
        <f>_XLL.ENTROPY('data T-s chart'!$A$1,"Tq",E68,1)</f>
        <v>6.252659562491418</v>
      </c>
      <c r="E68" s="16">
        <f t="shared" si="25"/>
        <v>224.4216000039998</v>
      </c>
      <c r="G68" s="16">
        <f>_XLL.ENTROPY('data T-s chart'!$A$1,"PT",H$6,H68)</f>
        <v>8.693906376348426</v>
      </c>
      <c r="H68" s="16">
        <f t="shared" si="36"/>
        <v>449.8029593056691</v>
      </c>
      <c r="I68" s="16">
        <f>_XLL.ENTROPY('data T-s chart'!$A$1,"PT",J$6,J68)</f>
        <v>7.072114036397657</v>
      </c>
      <c r="J68" s="16">
        <f t="shared" si="37"/>
        <v>531.9714355931643</v>
      </c>
      <c r="K68" s="16">
        <f>_XLL.ENTROPY('data T-s chart'!$A$1,"PT",L$6,L68)</f>
        <v>5.8632879348235125</v>
      </c>
      <c r="L68" s="16">
        <f t="shared" si="35"/>
        <v>459.15679999999986</v>
      </c>
      <c r="M68" s="16">
        <f>_XLL.ENTROPY('data T-s chart'!$A$1,"PT",N$6,N68)</f>
        <v>4.632402177522523</v>
      </c>
      <c r="N68" s="16">
        <f t="shared" si="27"/>
        <v>480.0040000039996</v>
      </c>
      <c r="P68" s="16">
        <f>_XLL.ENTROPY('data T-s chart'!$A$1,"Tv",Q68,Q$6)</f>
        <v>7.881330836953128</v>
      </c>
      <c r="Q68" s="16">
        <f t="shared" si="28"/>
        <v>480.0040000039996</v>
      </c>
      <c r="R68" s="16">
        <f>_XLL.ENTROPY('data T-s chart'!$A$1,"Tv",S68,S$6)</f>
        <v>5.832805768929081</v>
      </c>
      <c r="S68" s="16">
        <f t="shared" si="29"/>
        <v>480.0040000039996</v>
      </c>
      <c r="T68" s="16">
        <f>_XLL.ENTROPY('data T-s chart'!$A$1,"Tv",U68,U$6)</f>
        <v>4.909278952184709</v>
      </c>
      <c r="U68" s="16">
        <f t="shared" si="30"/>
        <v>480.0040000039996</v>
      </c>
      <c r="V68" s="16">
        <f>_XLL.ENTROPY('data T-s chart'!$A$1,"Tv",W68,W$6)</f>
        <v>4.481103551610286</v>
      </c>
      <c r="W68" s="16">
        <f t="shared" si="31"/>
        <v>480.0040000039996</v>
      </c>
      <c r="Y68" s="16">
        <f>_XLL.ENTROPY('data T-s chart'!$A$1,"Tq",Z68,Z$5)</f>
        <v>3.4819492326582653</v>
      </c>
      <c r="Z68" s="16">
        <f t="shared" si="32"/>
        <v>224.3716000039998</v>
      </c>
      <c r="AA68" s="16">
        <f>_XLL.ENTROPY('data T-s chart'!$A$1,"Tq",AB68,AB$5)</f>
        <v>4.405638051867838</v>
      </c>
      <c r="AB68" s="16">
        <f t="shared" si="33"/>
        <v>224.3716000039998</v>
      </c>
      <c r="AC68" s="16">
        <f>_XLL.ENTROPY('data T-s chart'!$A$1,"Tq",AD68,AD$5)</f>
        <v>5.329326871077411</v>
      </c>
      <c r="AD68" s="16">
        <f t="shared" si="34"/>
        <v>224.3716000039998</v>
      </c>
    </row>
    <row r="69" spans="1:30" ht="12.75">
      <c r="A69" s="16">
        <f>_XLL.ENTROPY('data T-s chart'!$A$1,"Tq",B69,0)</f>
        <v>2.5932160870386105</v>
      </c>
      <c r="B69" s="16">
        <f t="shared" si="24"/>
        <v>228.1609600038998</v>
      </c>
      <c r="D69" s="16">
        <f>_XLL.ENTROPY('data T-s chart'!$A$1,"Tq",E69,1)</f>
        <v>6.226085711827193</v>
      </c>
      <c r="E69" s="16">
        <f t="shared" si="25"/>
        <v>228.1609600038998</v>
      </c>
      <c r="G69" s="16">
        <f>_XLL.ENTROPY('data T-s chart'!$A$1,"PT",H$6,H69)</f>
        <v>8.719235078965722</v>
      </c>
      <c r="H69" s="16">
        <f t="shared" si="36"/>
        <v>458.5578853230274</v>
      </c>
      <c r="I69" s="16">
        <f>_XLL.ENTROPY('data T-s chart'!$A$1,"PT",J$6,J69)</f>
        <v>7.091365812583949</v>
      </c>
      <c r="J69" s="16">
        <f t="shared" si="37"/>
        <v>538.6721497033352</v>
      </c>
      <c r="K69" s="16">
        <f>_XLL.ENTROPY('data T-s chart'!$A$1,"PT",L$6,L69)</f>
        <v>5.91024593642122</v>
      </c>
      <c r="L69" s="16">
        <f t="shared" si="35"/>
        <v>467.67787999999985</v>
      </c>
      <c r="M69" s="16">
        <f>_XLL.ENTROPY('data T-s chart'!$A$1,"PT",N$6,N69)</f>
        <v>4.709670759583404</v>
      </c>
      <c r="N69" s="16">
        <f t="shared" si="27"/>
        <v>488.00390000389956</v>
      </c>
      <c r="P69" s="16">
        <f>_XLL.ENTROPY('data T-s chart'!$A$1,"Tv",Q69,Q$6)</f>
        <v>7.898980866524386</v>
      </c>
      <c r="Q69" s="16">
        <f t="shared" si="28"/>
        <v>488.00390000389956</v>
      </c>
      <c r="R69" s="16">
        <f>_XLL.ENTROPY('data T-s chart'!$A$1,"Tv",S69,S$6)</f>
        <v>5.856889718818574</v>
      </c>
      <c r="S69" s="16">
        <f t="shared" si="29"/>
        <v>488.00390000389956</v>
      </c>
      <c r="T69" s="16">
        <f>_XLL.ENTROPY('data T-s chart'!$A$1,"Tv",U69,U$6)</f>
        <v>4.9385738057924415</v>
      </c>
      <c r="U69" s="16">
        <f t="shared" si="30"/>
        <v>488.00390000389956</v>
      </c>
      <c r="V69" s="16">
        <f>_XLL.ENTROPY('data T-s chart'!$A$1,"Tv",W69,W$6)</f>
        <v>4.509618259754759</v>
      </c>
      <c r="W69" s="16">
        <f t="shared" si="31"/>
        <v>488.00390000389956</v>
      </c>
      <c r="Y69" s="16">
        <f>_XLL.ENTROPY('data T-s chart'!$A$1,"Tq",Z69,Z$5)</f>
        <v>3.501176638398121</v>
      </c>
      <c r="Z69" s="16">
        <f t="shared" si="32"/>
        <v>228.11096000389978</v>
      </c>
      <c r="AA69" s="16">
        <f>_XLL.ENTROPY('data T-s chart'!$A$1,"Tq",AB69,AB$5)</f>
        <v>4.40959786099408</v>
      </c>
      <c r="AB69" s="16">
        <f t="shared" si="33"/>
        <v>228.11096000389978</v>
      </c>
      <c r="AC69" s="16">
        <f>_XLL.ENTROPY('data T-s chart'!$A$1,"Tq",AD69,AD$5)</f>
        <v>5.318019083590039</v>
      </c>
      <c r="AD69" s="16">
        <f t="shared" si="34"/>
        <v>228.11096000389978</v>
      </c>
    </row>
    <row r="70" spans="1:30" ht="12.75">
      <c r="A70" s="16">
        <f>_XLL.ENTROPY('data T-s chart'!$A$1,"Tq",B70,0)</f>
        <v>2.6276290464452154</v>
      </c>
      <c r="B70" s="16">
        <f t="shared" si="24"/>
        <v>231.90032000379978</v>
      </c>
      <c r="D70" s="16">
        <f>_XLL.ENTROPY('data T-s chart'!$A$1,"Tq",E70,1)</f>
        <v>6.199615308997093</v>
      </c>
      <c r="E70" s="16">
        <f t="shared" si="25"/>
        <v>231.90032000379978</v>
      </c>
      <c r="G70" s="16">
        <f>_XLL.ENTROPY('data T-s chart'!$A$1,"PT",H$6,H70)</f>
        <v>8.744330639985671</v>
      </c>
      <c r="H70" s="16">
        <f t="shared" si="36"/>
        <v>467.3128113403857</v>
      </c>
      <c r="I70" s="16">
        <f>_XLL.ENTROPY('data T-s chart'!$A$1,"PT",J$6,J70)</f>
        <v>7.110451927019742</v>
      </c>
      <c r="J70" s="16">
        <f t="shared" si="37"/>
        <v>545.3728638135061</v>
      </c>
      <c r="K70" s="16">
        <f>_XLL.ENTROPY('data T-s chart'!$A$1,"PT",L$6,L70)</f>
        <v>5.95467429006852</v>
      </c>
      <c r="L70" s="16">
        <f t="shared" si="35"/>
        <v>476.19895999999983</v>
      </c>
      <c r="M70" s="16">
        <f>_XLL.ENTROPY('data T-s chart'!$A$1,"PT",N$6,N70)</f>
        <v>4.785885977633853</v>
      </c>
      <c r="N70" s="16">
        <f t="shared" si="27"/>
        <v>496.00380000379954</v>
      </c>
      <c r="P70" s="16">
        <f>_XLL.ENTROPY('data T-s chart'!$A$1,"Tv",Q70,Q$6)</f>
        <v>7.916499824826701</v>
      </c>
      <c r="Q70" s="16">
        <f t="shared" si="28"/>
        <v>496.00380000379954</v>
      </c>
      <c r="R70" s="16">
        <f>_XLL.ENTROPY('data T-s chart'!$A$1,"Tv",S70,S$6)</f>
        <v>5.880488727333747</v>
      </c>
      <c r="S70" s="16">
        <f t="shared" si="29"/>
        <v>496.00380000379954</v>
      </c>
      <c r="T70" s="16">
        <f>_XLL.ENTROPY('data T-s chart'!$A$1,"Tv",U70,U$6)</f>
        <v>4.967212418709888</v>
      </c>
      <c r="U70" s="16">
        <f t="shared" si="30"/>
        <v>496.00380000379954</v>
      </c>
      <c r="V70" s="16">
        <f>_XLL.ENTROPY('data T-s chart'!$A$1,"Tv",W70,W$6)</f>
        <v>4.537641519650007</v>
      </c>
      <c r="W70" s="16">
        <f t="shared" si="31"/>
        <v>496.00380000379954</v>
      </c>
      <c r="Y70" s="16">
        <f>_XLL.ENTROPY('data T-s chart'!$A$1,"Tq",Z70,Z$5)</f>
        <v>3.520369210538599</v>
      </c>
      <c r="Z70" s="16">
        <f t="shared" si="32"/>
        <v>231.85032000379977</v>
      </c>
      <c r="AA70" s="16">
        <f>_XLL.ENTROPY('data T-s chart'!$A$1,"Tq",AB70,AB$5)</f>
        <v>4.413569029281475</v>
      </c>
      <c r="AB70" s="16">
        <f t="shared" si="33"/>
        <v>231.85032000379977</v>
      </c>
      <c r="AC70" s="16">
        <f>_XLL.ENTROPY('data T-s chart'!$A$1,"Tq",AD70,AD$5)</f>
        <v>5.30676884802435</v>
      </c>
      <c r="AD70" s="16">
        <f t="shared" si="34"/>
        <v>231.85032000379977</v>
      </c>
    </row>
    <row r="71" spans="1:30" ht="12.75">
      <c r="A71" s="16">
        <f>_XLL.ENTROPY('data T-s chart'!$A$1,"Tq",B71,0)</f>
        <v>2.661971082626469</v>
      </c>
      <c r="B71" s="16">
        <f t="shared" si="24"/>
        <v>235.63968000369977</v>
      </c>
      <c r="D71" s="16">
        <f>_XLL.ENTROPY('data T-s chart'!$A$1,"Tq",E71,1)</f>
        <v>6.173226050000478</v>
      </c>
      <c r="E71" s="16">
        <f t="shared" si="25"/>
        <v>235.63968000369977</v>
      </c>
      <c r="G71" s="16">
        <f>_XLL.ENTROPY('data T-s chart'!$A$1,"PT",H$6,H71)</f>
        <v>8.769198953456659</v>
      </c>
      <c r="H71" s="16">
        <f t="shared" si="36"/>
        <v>476.06773735774397</v>
      </c>
      <c r="I71" s="16">
        <f>_XLL.ENTROPY('data T-s chart'!$A$1,"PT",J$6,J71)</f>
        <v>7.129377315517548</v>
      </c>
      <c r="J71" s="16">
        <f t="shared" si="37"/>
        <v>552.073577923677</v>
      </c>
      <c r="K71" s="16">
        <f>_XLL.ENTROPY('data T-s chart'!$A$1,"PT",L$6,L71)</f>
        <v>5.996928538342872</v>
      </c>
      <c r="L71" s="16">
        <f t="shared" si="35"/>
        <v>484.7200399999998</v>
      </c>
      <c r="M71" s="16">
        <f>_XLL.ENTROPY('data T-s chart'!$A$1,"PT",N$6,N71)</f>
        <v>4.860462833314589</v>
      </c>
      <c r="N71" s="16">
        <f t="shared" si="27"/>
        <v>504.0037000036995</v>
      </c>
      <c r="P71" s="16">
        <f>_XLL.ENTROPY('data T-s chart'!$A$1,"Tv",Q71,Q$6)</f>
        <v>7.9338907936597</v>
      </c>
      <c r="Q71" s="16">
        <f t="shared" si="28"/>
        <v>504.0037000036995</v>
      </c>
      <c r="R71" s="16">
        <f>_XLL.ENTROPY('data T-s chart'!$A$1,"Tv",S71,S$6)</f>
        <v>5.903631195691137</v>
      </c>
      <c r="S71" s="16">
        <f t="shared" si="29"/>
        <v>504.0037000036995</v>
      </c>
      <c r="T71" s="16">
        <f>_XLL.ENTROPY('data T-s chart'!$A$1,"Tv",U71,U$6)</f>
        <v>4.995229194430182</v>
      </c>
      <c r="U71" s="16">
        <f t="shared" si="30"/>
        <v>504.0037000036995</v>
      </c>
      <c r="V71" s="16">
        <f>_XLL.ENTROPY('data T-s chart'!$A$1,"Tv",W71,W$6)</f>
        <v>4.565207322646402</v>
      </c>
      <c r="W71" s="16">
        <f t="shared" si="31"/>
        <v>504.0037000036995</v>
      </c>
      <c r="Y71" s="16">
        <f>_XLL.ENTROPY('data T-s chart'!$A$1,"Tq",Z71,Z$5)</f>
        <v>3.5395288495796104</v>
      </c>
      <c r="Z71" s="16">
        <f t="shared" si="32"/>
        <v>235.58968000369975</v>
      </c>
      <c r="AA71" s="16">
        <f>_XLL.ENTROPY('data T-s chart'!$A$1,"Tq",AB71,AB$5)</f>
        <v>4.41754539002785</v>
      </c>
      <c r="AB71" s="16">
        <f t="shared" si="33"/>
        <v>235.58968000369975</v>
      </c>
      <c r="AC71" s="16">
        <f>_XLL.ENTROPY('data T-s chart'!$A$1,"Tq",AD71,AD$5)</f>
        <v>5.295561930476089</v>
      </c>
      <c r="AD71" s="16">
        <f t="shared" si="34"/>
        <v>235.58968000369975</v>
      </c>
    </row>
    <row r="72" spans="1:30" ht="12.75">
      <c r="A72" s="16">
        <f>_XLL.ENTROPY('data T-s chart'!$A$1,"Tq",B72,0)</f>
        <v>2.696252499042259</v>
      </c>
      <c r="B72" s="16">
        <f t="shared" si="24"/>
        <v>239.37904000359975</v>
      </c>
      <c r="D72" s="16">
        <f>_XLL.ENTROPY('data T-s chart'!$A$1,"Tq",E72,1)</f>
        <v>6.1468953753408835</v>
      </c>
      <c r="E72" s="16">
        <f t="shared" si="25"/>
        <v>239.37904000359975</v>
      </c>
      <c r="G72" s="16">
        <f>_XLL.ENTROPY('data T-s chart'!$A$1,"PT",H$6,H72)</f>
        <v>8.79384568703824</v>
      </c>
      <c r="H72" s="16">
        <f t="shared" si="36"/>
        <v>484.82266337510225</v>
      </c>
      <c r="I72" s="16">
        <f>_XLL.ENTROPY('data T-s chart'!$A$1,"PT",J$6,J72)</f>
        <v>7.148146642250194</v>
      </c>
      <c r="J72" s="16">
        <f t="shared" si="37"/>
        <v>558.7742920338479</v>
      </c>
      <c r="K72" s="16">
        <f>_XLL.ENTROPY('data T-s chart'!$A$1,"PT",L$6,L72)</f>
        <v>6.037294002904496</v>
      </c>
      <c r="L72" s="16">
        <f t="shared" si="35"/>
        <v>493.2411199999998</v>
      </c>
      <c r="M72" s="16">
        <f>_XLL.ENTROPY('data T-s chart'!$A$1,"PT",N$6,N72)</f>
        <v>4.93291657186901</v>
      </c>
      <c r="N72" s="16">
        <f t="shared" si="27"/>
        <v>512.0036000035996</v>
      </c>
      <c r="P72" s="16">
        <f>_XLL.ENTROPY('data T-s chart'!$A$1,"Tv",Q72,Q$6)</f>
        <v>7.951156724139221</v>
      </c>
      <c r="Q72" s="16">
        <f t="shared" si="28"/>
        <v>512.0036000035996</v>
      </c>
      <c r="R72" s="16">
        <f>_XLL.ENTROPY('data T-s chart'!$A$1,"Tv",S72,S$6)</f>
        <v>5.926343571152674</v>
      </c>
      <c r="S72" s="16">
        <f t="shared" si="29"/>
        <v>512.0036000035996</v>
      </c>
      <c r="T72" s="16">
        <f>_XLL.ENTROPY('data T-s chart'!$A$1,"Tv",U72,U$6)</f>
        <v>5.022657166350124</v>
      </c>
      <c r="U72" s="16">
        <f t="shared" si="30"/>
        <v>512.0036000035996</v>
      </c>
      <c r="V72" s="16">
        <f>_XLL.ENTROPY('data T-s chart'!$A$1,"Tv",W72,W$6)</f>
        <v>4.592349589876828</v>
      </c>
      <c r="W72" s="16">
        <f t="shared" si="31"/>
        <v>512.0036000035996</v>
      </c>
      <c r="Y72" s="16">
        <f>_XLL.ENTROPY('data T-s chart'!$A$1,"Tq",Z72,Z$5)</f>
        <v>3.558657640696963</v>
      </c>
      <c r="Z72" s="16">
        <f t="shared" si="32"/>
        <v>239.32904000359974</v>
      </c>
      <c r="AA72" s="16">
        <f>_XLL.ENTROPY('data T-s chart'!$A$1,"Tq",AB72,AB$5)</f>
        <v>4.421520814834922</v>
      </c>
      <c r="AB72" s="16">
        <f t="shared" si="33"/>
        <v>239.32904000359974</v>
      </c>
      <c r="AC72" s="16">
        <f>_XLL.ENTROPY('data T-s chart'!$A$1,"Tq",AD72,AD$5)</f>
        <v>5.2843839889728805</v>
      </c>
      <c r="AD72" s="16">
        <f t="shared" si="34"/>
        <v>239.32904000359974</v>
      </c>
    </row>
    <row r="73" spans="1:30" ht="12.75">
      <c r="A73" s="16">
        <f>_XLL.ENTROPY('data T-s chart'!$A$1,"Tq",B73,0)</f>
        <v>2.730483974581492</v>
      </c>
      <c r="B73" s="16">
        <f aca="true" t="shared" si="38" ref="B73:B107">B72+$B$6</f>
        <v>243.11840000349974</v>
      </c>
      <c r="D73" s="16">
        <f>_XLL.ENTROPY('data T-s chart'!$A$1,"Tq",E73,1)</f>
        <v>6.120600384669989</v>
      </c>
      <c r="E73" s="16">
        <f aca="true" t="shared" si="39" ref="E73:E107">E72+$B$6</f>
        <v>243.11840000349974</v>
      </c>
      <c r="G73" s="16">
        <f>_XLL.ENTROPY('data T-s chart'!$A$1,"PT",H$6,H73)</f>
        <v>8.818276293138892</v>
      </c>
      <c r="H73" s="16">
        <f t="shared" si="36"/>
        <v>493.57758939246054</v>
      </c>
      <c r="I73" s="16">
        <f>_XLL.ENTROPY('data T-s chart'!$A$1,"PT",J$6,J73)</f>
        <v>7.166764321719332</v>
      </c>
      <c r="J73" s="16">
        <f t="shared" si="37"/>
        <v>565.4750061440188</v>
      </c>
      <c r="K73" s="16">
        <f>_XLL.ENTROPY('data T-s chart'!$A$1,"PT",L$6,L73)</f>
        <v>6.076003045783018</v>
      </c>
      <c r="L73" s="16">
        <f t="shared" si="35"/>
        <v>501.7621999999998</v>
      </c>
      <c r="M73" s="16">
        <f>_XLL.ENTROPY('data T-s chart'!$A$1,"PT",N$6,N73)</f>
        <v>5.002895826262109</v>
      </c>
      <c r="N73" s="16">
        <f aca="true" t="shared" si="40" ref="N73:N107">N72+(N$108-N$8)/100</f>
        <v>520.0035000034995</v>
      </c>
      <c r="P73" s="16">
        <f>_XLL.ENTROPY('data T-s chart'!$A$1,"Tv",Q73,Q$6)</f>
        <v>7.96830046176029</v>
      </c>
      <c r="Q73" s="16">
        <f aca="true" t="shared" si="41" ref="Q73:Q107">Q72+(Q$108-Q$8)/100</f>
        <v>520.0035000034995</v>
      </c>
      <c r="R73" s="16">
        <f>_XLL.ENTROPY('data T-s chart'!$A$1,"Tv",S73,S$6)</f>
        <v>5.948650577442338</v>
      </c>
      <c r="S73" s="16">
        <f aca="true" t="shared" si="42" ref="S73:S107">S72+(S$108-S$8)/100</f>
        <v>520.0035000034995</v>
      </c>
      <c r="T73" s="16">
        <f>_XLL.ENTROPY('data T-s chart'!$A$1,"Tv",U73,U$6)</f>
        <v>5.049528215377809</v>
      </c>
      <c r="U73" s="16">
        <f aca="true" t="shared" si="43" ref="U73:U107">U72+(U$108-U$8)/100</f>
        <v>520.0035000034995</v>
      </c>
      <c r="V73" s="16" t="str">
        <f>_XLL.ENTROPY('data T-s chart'!$A$1,"Tv",W73,W$6)</f>
        <v>Values of independents are not in range</v>
      </c>
      <c r="W73" s="16">
        <f aca="true" t="shared" si="44" ref="W73:W107">W72+(W$108-W$8)/100</f>
        <v>520.0035000034995</v>
      </c>
      <c r="Y73" s="16">
        <f>_XLL.ENTROPY('data T-s chart'!$A$1,"Tq",Z73,Z$5)</f>
        <v>3.5777578652639344</v>
      </c>
      <c r="Z73" s="16">
        <f aca="true" t="shared" si="45" ref="Z73:Z107">Z72+Z$6</f>
        <v>243.06840000349973</v>
      </c>
      <c r="AA73" s="16">
        <f>_XLL.ENTROPY('data T-s chart'!$A$1,"Tq",AB73,AB$5)</f>
        <v>4.425489192896019</v>
      </c>
      <c r="AB73" s="16">
        <f aca="true" t="shared" si="46" ref="AB73:AB107">AB72+AB$6</f>
        <v>243.06840000349973</v>
      </c>
      <c r="AC73" s="16">
        <f>_XLL.ENTROPY('data T-s chart'!$A$1,"Tq",AD73,AD$5)</f>
        <v>5.2732205205281035</v>
      </c>
      <c r="AD73" s="16">
        <f aca="true" t="shared" si="47" ref="AD73:AD107">AD72+AD$6</f>
        <v>243.06840000349973</v>
      </c>
    </row>
    <row r="74" spans="1:30" ht="12.75">
      <c r="A74" s="16">
        <f>_XLL.ENTROPY('data T-s chart'!$A$1,"Tq",B74,0)</f>
        <v>2.7646766137483083</v>
      </c>
      <c r="B74" s="16">
        <f t="shared" si="38"/>
        <v>246.85776000339973</v>
      </c>
      <c r="D74" s="16">
        <f>_XLL.ENTROPY('data T-s chart'!$A$1,"Tq",E74,1)</f>
        <v>6.094317736575443</v>
      </c>
      <c r="E74" s="16">
        <f t="shared" si="39"/>
        <v>246.85776000339973</v>
      </c>
      <c r="G74" s="16">
        <f>_XLL.ENTROPY('data T-s chart'!$A$1,"PT",H$6,H74)</f>
        <v>8.842496019283113</v>
      </c>
      <c r="H74" s="16">
        <f t="shared" si="36"/>
        <v>502.3325154098188</v>
      </c>
      <c r="I74" s="16">
        <f>_XLL.ENTROPY('data T-s chart'!$A$1,"PT",J$6,J74)</f>
        <v>7.185234538465915</v>
      </c>
      <c r="J74" s="16">
        <f t="shared" si="37"/>
        <v>572.1757202541897</v>
      </c>
      <c r="K74" s="16">
        <f>_XLL.ENTROPY('data T-s chart'!$A$1,"PT",L$6,L74)</f>
        <v>6.113247285022372</v>
      </c>
      <c r="L74" s="16">
        <f t="shared" si="35"/>
        <v>510.28327999999976</v>
      </c>
      <c r="M74" s="16">
        <f>_XLL.ENTROPY('data T-s chart'!$A$1,"PT",N$6,N74)</f>
        <v>5.070225289386984</v>
      </c>
      <c r="N74" s="16">
        <f t="shared" si="40"/>
        <v>528.0034000033995</v>
      </c>
      <c r="P74" s="16">
        <f>_XLL.ENTROPY('data T-s chart'!$A$1,"Tv",Q74,Q$6)</f>
        <v>7.985324746576584</v>
      </c>
      <c r="Q74" s="16">
        <f t="shared" si="41"/>
        <v>528.0034000033995</v>
      </c>
      <c r="R74" s="16">
        <f>_XLL.ENTROPY('data T-s chart'!$A$1,"Tv",S74,S$6)</f>
        <v>5.970575332093928</v>
      </c>
      <c r="S74" s="16">
        <f t="shared" si="42"/>
        <v>528.0034000033995</v>
      </c>
      <c r="T74" s="16">
        <f>_XLL.ENTROPY('data T-s chart'!$A$1,"Tv",U74,U$6)</f>
        <v>5.075931960233759</v>
      </c>
      <c r="U74" s="16">
        <f t="shared" si="43"/>
        <v>528.0034000033995</v>
      </c>
      <c r="V74" s="16" t="str">
        <f>_XLL.ENTROPY('data T-s chart'!$A$1,"Tv",W74,W$6)</f>
        <v>Values of independents are not in range</v>
      </c>
      <c r="W74" s="16">
        <f t="shared" si="44"/>
        <v>528.0034000033995</v>
      </c>
      <c r="Y74" s="16">
        <f>_XLL.ENTROPY('data T-s chart'!$A$1,"Tq",Z74,Z$5)</f>
        <v>3.5968320134242453</v>
      </c>
      <c r="Z74" s="16">
        <f t="shared" si="45"/>
        <v>246.80776000339972</v>
      </c>
      <c r="AA74" s="16">
        <f>_XLL.ENTROPY('data T-s chart'!$A$1,"Tq",AB74,AB$5)</f>
        <v>4.4294444060478275</v>
      </c>
      <c r="AB74" s="16">
        <f t="shared" si="46"/>
        <v>246.80776000339972</v>
      </c>
      <c r="AC74" s="16">
        <f>_XLL.ENTROPY('data T-s chart'!$A$1,"Tq",AD74,AD$5)</f>
        <v>5.262056798671409</v>
      </c>
      <c r="AD74" s="16">
        <f t="shared" si="47"/>
        <v>246.80776000339972</v>
      </c>
    </row>
    <row r="75" spans="1:30" ht="12.75">
      <c r="A75" s="16">
        <f>_XLL.ENTROPY('data T-s chart'!$A$1,"Tq",B75,0)</f>
        <v>2.798842004336992</v>
      </c>
      <c r="B75" s="16">
        <f t="shared" si="38"/>
        <v>250.59712000329972</v>
      </c>
      <c r="D75" s="16">
        <f>_XLL.ENTROPY('data T-s chart'!$A$1,"Tq",E75,1)</f>
        <v>6.06802352994591</v>
      </c>
      <c r="E75" s="16">
        <f t="shared" si="39"/>
        <v>250.59712000329972</v>
      </c>
      <c r="G75" s="16">
        <f>_XLL.ENTROPY('data T-s chart'!$A$1,"PT",H$6,H75)</f>
        <v>8.866509917786999</v>
      </c>
      <c r="H75" s="16">
        <f t="shared" si="36"/>
        <v>511.0874414271771</v>
      </c>
      <c r="I75" s="16">
        <f>_XLL.ENTROPY('data T-s chart'!$A$1,"PT",J$6,J75)</f>
        <v>7.203561264789314</v>
      </c>
      <c r="J75" s="16">
        <f t="shared" si="37"/>
        <v>578.8764343643606</v>
      </c>
      <c r="K75" s="16">
        <f>_XLL.ENTROPY('data T-s chart'!$A$1,"PT",L$6,L75)</f>
        <v>6.149186472184723</v>
      </c>
      <c r="L75" s="16">
        <f t="shared" si="35"/>
        <v>518.8043599999997</v>
      </c>
      <c r="M75" s="16">
        <f>_XLL.ENTROPY('data T-s chart'!$A$1,"PT",N$6,N75)</f>
        <v>5.134561458133326</v>
      </c>
      <c r="N75" s="16">
        <f t="shared" si="40"/>
        <v>536.0033000032995</v>
      </c>
      <c r="P75" s="16">
        <f>_XLL.ENTROPY('data T-s chart'!$A$1,"Tv",Q75,Q$6)</f>
        <v>8.002232218301907</v>
      </c>
      <c r="Q75" s="16">
        <f t="shared" si="41"/>
        <v>536.0033000032995</v>
      </c>
      <c r="R75" s="16">
        <f>_XLL.ENTROPY('data T-s chart'!$A$1,"Tv",S75,S$6)</f>
        <v>5.992139430247198</v>
      </c>
      <c r="S75" s="16">
        <f t="shared" si="42"/>
        <v>536.0033000032995</v>
      </c>
      <c r="T75" s="16">
        <f>_XLL.ENTROPY('data T-s chart'!$A$1,"Tv",U75,U$6)</f>
        <v>5.101728365966509</v>
      </c>
      <c r="U75" s="16">
        <f t="shared" si="43"/>
        <v>536.0033000032995</v>
      </c>
      <c r="V75" s="16" t="str">
        <f>_XLL.ENTROPY('data T-s chart'!$A$1,"Tv",W75,W$6)</f>
        <v>Values of independents are not in range</v>
      </c>
      <c r="W75" s="16">
        <f t="shared" si="44"/>
        <v>536.0033000032995</v>
      </c>
      <c r="Y75" s="16">
        <f>_XLL.ENTROPY('data T-s chart'!$A$1,"Tq",Z75,Z$5)</f>
        <v>3.615882797675871</v>
      </c>
      <c r="Z75" s="16">
        <f t="shared" si="45"/>
        <v>250.5471200032997</v>
      </c>
      <c r="AA75" s="16">
        <f>_XLL.ENTROPY('data T-s chart'!$A$1,"Tq",AB75,AB$5)</f>
        <v>4.433380298371565</v>
      </c>
      <c r="AB75" s="16">
        <f t="shared" si="46"/>
        <v>250.5471200032997</v>
      </c>
      <c r="AC75" s="16">
        <f>_XLL.ENTROPY('data T-s chart'!$A$1,"Tq",AD75,AD$5)</f>
        <v>5.250877799067259</v>
      </c>
      <c r="AD75" s="16">
        <f t="shared" si="47"/>
        <v>250.5471200032997</v>
      </c>
    </row>
    <row r="76" spans="1:30" ht="12.75">
      <c r="A76" s="16">
        <f>_XLL.ENTROPY('data T-s chart'!$A$1,"Tq",B76,0)</f>
        <v>2.832992283926153</v>
      </c>
      <c r="B76" s="16">
        <f t="shared" si="38"/>
        <v>254.3364800031997</v>
      </c>
      <c r="D76" s="16">
        <f>_XLL.ENTROPY('data T-s chart'!$A$1,"Tq",E76,1)</f>
        <v>6.041693163199354</v>
      </c>
      <c r="E76" s="16">
        <f t="shared" si="39"/>
        <v>254.3364800031997</v>
      </c>
      <c r="G76" s="16">
        <f>_XLL.ENTROPY('data T-s chart'!$A$1,"PT",H$6,H76)</f>
        <v>8.890322854811687</v>
      </c>
      <c r="H76" s="16">
        <f t="shared" si="36"/>
        <v>519.8423674445354</v>
      </c>
      <c r="I76" s="16">
        <f>_XLL.ENTROPY('data T-s chart'!$A$1,"PT",J$6,J76)</f>
        <v>7.22174827670775</v>
      </c>
      <c r="J76" s="16">
        <f t="shared" si="37"/>
        <v>585.5771484745316</v>
      </c>
      <c r="K76" s="16">
        <f>_XLL.ENTROPY('data T-s chart'!$A$1,"PT",L$6,L76)</f>
        <v>6.1839550853757475</v>
      </c>
      <c r="L76" s="16">
        <f t="shared" si="35"/>
        <v>527.3254399999997</v>
      </c>
      <c r="M76" s="16">
        <f>_XLL.ENTROPY('data T-s chart'!$A$1,"PT",N$6,N76)</f>
        <v>5.196192311625874</v>
      </c>
      <c r="N76" s="16">
        <f t="shared" si="40"/>
        <v>544.0032000031995</v>
      </c>
      <c r="P76" s="16">
        <f>_XLL.ENTROPY('data T-s chart'!$A$1,"Tv",Q76,Q$6)</f>
        <v>8.019025417390306</v>
      </c>
      <c r="Q76" s="16">
        <f t="shared" si="41"/>
        <v>544.0032000031995</v>
      </c>
      <c r="R76" s="16">
        <f>_XLL.ENTROPY('data T-s chart'!$A$1,"Tv",S76,S$6)</f>
        <v>6.013363023861915</v>
      </c>
      <c r="S76" s="16">
        <f t="shared" si="42"/>
        <v>544.0032000031995</v>
      </c>
      <c r="T76" s="16">
        <f>_XLL.ENTROPY('data T-s chart'!$A$1,"Tv",U76,U$6)</f>
        <v>5.127094902709042</v>
      </c>
      <c r="U76" s="16">
        <f t="shared" si="43"/>
        <v>544.0032000031995</v>
      </c>
      <c r="V76" s="16" t="str">
        <f>_XLL.ENTROPY('data T-s chart'!$A$1,"Tv",W76,W$6)</f>
        <v>Values of independents are not in range</v>
      </c>
      <c r="W76" s="16">
        <f t="shared" si="44"/>
        <v>544.0032000031995</v>
      </c>
      <c r="Y76" s="16">
        <f>_XLL.ENTROPY('data T-s chart'!$A$1,"Tq",Z76,Z$5)</f>
        <v>3.6349131675330706</v>
      </c>
      <c r="Z76" s="16">
        <f t="shared" si="45"/>
        <v>254.2864800031997</v>
      </c>
      <c r="AA76" s="16">
        <f>_XLL.ENTROPY('data T-s chart'!$A$1,"Tq",AB76,AB$5)</f>
        <v>4.437290639150503</v>
      </c>
      <c r="AB76" s="16">
        <f t="shared" si="46"/>
        <v>254.2864800031997</v>
      </c>
      <c r="AC76" s="16">
        <f>_XLL.ENTROPY('data T-s chart'!$A$1,"Tq",AD76,AD$5)</f>
        <v>5.239668110767936</v>
      </c>
      <c r="AD76" s="16">
        <f t="shared" si="47"/>
        <v>254.2864800031997</v>
      </c>
    </row>
    <row r="77" spans="1:30" ht="12.75">
      <c r="A77" s="16">
        <f>_XLL.ENTROPY('data T-s chart'!$A$1,"Tq",B77,0)</f>
        <v>2.8671402167480093</v>
      </c>
      <c r="B77" s="16">
        <f t="shared" si="38"/>
        <v>258.0758400030997</v>
      </c>
      <c r="D77" s="16">
        <f>_XLL.ENTROPY('data T-s chart'!$A$1,"Tq",E77,1)</f>
        <v>6.015301167795736</v>
      </c>
      <c r="E77" s="16">
        <f t="shared" si="39"/>
        <v>258.0758400030997</v>
      </c>
      <c r="G77" s="16">
        <f>_XLL.ENTROPY('data T-s chart'!$A$1,"PT",H$6,H77)</f>
        <v>8.913939518855978</v>
      </c>
      <c r="H77" s="16">
        <f t="shared" si="36"/>
        <v>528.5972934618936</v>
      </c>
      <c r="I77" s="16">
        <f>_XLL.ENTROPY('data T-s chart'!$A$1,"PT",J$6,J77)</f>
        <v>7.2397991683635325</v>
      </c>
      <c r="J77" s="16">
        <f t="shared" si="37"/>
        <v>592.2778625847025</v>
      </c>
      <c r="K77" s="16">
        <f>_XLL.ENTROPY('data T-s chart'!$A$1,"PT",L$6,L77)</f>
        <v>6.217667314968139</v>
      </c>
      <c r="L77" s="16">
        <f t="shared" si="35"/>
        <v>535.8465199999997</v>
      </c>
      <c r="M77" s="16">
        <f>_XLL.ENTROPY('data T-s chart'!$A$1,"PT",N$6,N77)</f>
        <v>5.254943030877222</v>
      </c>
      <c r="N77" s="16">
        <f t="shared" si="40"/>
        <v>552.0031000030995</v>
      </c>
      <c r="P77" s="16">
        <f>_XLL.ENTROPY('data T-s chart'!$A$1,"Tv",Q77,Q$6)</f>
        <v>8.035706807282844</v>
      </c>
      <c r="Q77" s="16">
        <f t="shared" si="41"/>
        <v>552.0031000030995</v>
      </c>
      <c r="R77" s="16">
        <f>_XLL.ENTROPY('data T-s chart'!$A$1,"Tv",S77,S$6)</f>
        <v>6.034264835239551</v>
      </c>
      <c r="S77" s="16">
        <f t="shared" si="42"/>
        <v>552.0031000030995</v>
      </c>
      <c r="T77" s="16">
        <f>_XLL.ENTROPY('data T-s chart'!$A$1,"Tv",U77,U$6)</f>
        <v>5.152035700087619</v>
      </c>
      <c r="U77" s="16">
        <f t="shared" si="43"/>
        <v>552.0031000030995</v>
      </c>
      <c r="V77" s="16" t="str">
        <f>_XLL.ENTROPY('data T-s chart'!$A$1,"Tv",W77,W$6)</f>
        <v>Values of independents are not in range</v>
      </c>
      <c r="W77" s="16">
        <f t="shared" si="44"/>
        <v>552.0031000030995</v>
      </c>
      <c r="Y77" s="16">
        <f>_XLL.ENTROPY('data T-s chart'!$A$1,"Tq",Z77,Z$5)</f>
        <v>3.653926325535437</v>
      </c>
      <c r="Z77" s="16">
        <f t="shared" si="45"/>
        <v>258.0258400030997</v>
      </c>
      <c r="AA77" s="16">
        <f>_XLL.ENTROPY('data T-s chart'!$A$1,"Tq",AB77,AB$5)</f>
        <v>4.441169078168859</v>
      </c>
      <c r="AB77" s="16">
        <f t="shared" si="46"/>
        <v>258.0258400030997</v>
      </c>
      <c r="AC77" s="16">
        <f>_XLL.ENTROPY('data T-s chart'!$A$1,"Tq",AD77,AD$5)</f>
        <v>5.228411830802282</v>
      </c>
      <c r="AD77" s="16">
        <f t="shared" si="47"/>
        <v>258.0258400030997</v>
      </c>
    </row>
    <row r="78" spans="1:30" ht="12.75">
      <c r="A78" s="16">
        <f>_XLL.ENTROPY('data T-s chart'!$A$1,"Tq",B78,0)</f>
        <v>2.9012992827449597</v>
      </c>
      <c r="B78" s="16">
        <f t="shared" si="38"/>
        <v>261.8152000029997</v>
      </c>
      <c r="D78" s="16">
        <f>_XLL.ENTROPY('data T-s chart'!$A$1,"Tq",E78,1)</f>
        <v>5.988821012908732</v>
      </c>
      <c r="E78" s="16">
        <f t="shared" si="39"/>
        <v>261.8152000029997</v>
      </c>
      <c r="G78" s="16">
        <f>_XLL.ENTROPY('data T-s chart'!$A$1,"PT",H$6,H78)</f>
        <v>8.937364428742205</v>
      </c>
      <c r="H78" s="16">
        <f t="shared" si="36"/>
        <v>537.3522194792519</v>
      </c>
      <c r="I78" s="16">
        <f>_XLL.ENTROPY('data T-s chart'!$A$1,"PT",J$6,J78)</f>
        <v>7.257717365051095</v>
      </c>
      <c r="J78" s="16">
        <f t="shared" si="37"/>
        <v>598.9785766948734</v>
      </c>
      <c r="K78" s="16">
        <f>_XLL.ENTROPY('data T-s chart'!$A$1,"PT",L$6,L78)</f>
        <v>6.250420891967133</v>
      </c>
      <c r="L78" s="16">
        <f t="shared" si="35"/>
        <v>544.3675999999997</v>
      </c>
      <c r="M78" s="16">
        <f>_XLL.ENTROPY('data T-s chart'!$A$1,"PT",N$6,N78)</f>
        <v>5.310948936754523</v>
      </c>
      <c r="N78" s="16">
        <f t="shared" si="40"/>
        <v>560.0030000029994</v>
      </c>
      <c r="P78" s="16">
        <f>_XLL.ENTROPY('data T-s chart'!$A$1,"Tv",Q78,Q$6)</f>
        <v>8.052278745936281</v>
      </c>
      <c r="Q78" s="16">
        <f t="shared" si="41"/>
        <v>560.0030000029994</v>
      </c>
      <c r="R78" s="16">
        <f>_XLL.ENTROPY('data T-s chart'!$A$1,"Tv",S78,S$6)</f>
        <v>6.054862226522566</v>
      </c>
      <c r="S78" s="16">
        <f t="shared" si="42"/>
        <v>560.0030000029994</v>
      </c>
      <c r="T78" s="16">
        <f>_XLL.ENTROPY('data T-s chart'!$A$1,"Tv",U78,U$6)</f>
        <v>5.176547169263934</v>
      </c>
      <c r="U78" s="16">
        <f t="shared" si="43"/>
        <v>560.0030000029994</v>
      </c>
      <c r="V78" s="16" t="str">
        <f>_XLL.ENTROPY('data T-s chart'!$A$1,"Tv",W78,W$6)</f>
        <v>Values of independents are not in range</v>
      </c>
      <c r="W78" s="16">
        <f t="shared" si="44"/>
        <v>560.0030000029994</v>
      </c>
      <c r="Y78" s="16">
        <f>_XLL.ENTROPY('data T-s chart'!$A$1,"Tq",Z78,Z$5)</f>
        <v>3.6729257451769444</v>
      </c>
      <c r="Z78" s="16">
        <f t="shared" si="45"/>
        <v>261.7652000029997</v>
      </c>
      <c r="AA78" s="16">
        <f>_XLL.ENTROPY('data T-s chart'!$A$1,"Tq",AB78,AB$5)</f>
        <v>4.445009092689454</v>
      </c>
      <c r="AB78" s="16">
        <f t="shared" si="46"/>
        <v>261.7652000029997</v>
      </c>
      <c r="AC78" s="16">
        <f>_XLL.ENTROPY('data T-s chart'!$A$1,"Tq",AD78,AD$5)</f>
        <v>5.217092440201964</v>
      </c>
      <c r="AD78" s="16">
        <f t="shared" si="47"/>
        <v>261.7652000029997</v>
      </c>
    </row>
    <row r="79" spans="1:30" ht="12.75">
      <c r="A79" s="16">
        <f>_XLL.ENTROPY('data T-s chart'!$A$1,"Tq",B79,0)</f>
        <v>2.9354837809096064</v>
      </c>
      <c r="B79" s="16">
        <f t="shared" si="38"/>
        <v>265.5545600028997</v>
      </c>
      <c r="D79" s="16">
        <f>_XLL.ENTROPY('data T-s chart'!$A$1,"Tq",E79,1)</f>
        <v>5.96222487889867</v>
      </c>
      <c r="E79" s="16">
        <f t="shared" si="39"/>
        <v>265.5545600028997</v>
      </c>
      <c r="G79" s="16">
        <f>_XLL.ENTROPY('data T-s chart'!$A$1,"PT",H$6,H79)</f>
        <v>8.960601941143373</v>
      </c>
      <c r="H79" s="16">
        <f t="shared" si="36"/>
        <v>546.1071454966101</v>
      </c>
      <c r="I79" s="16">
        <f>_XLL.ENTROPY('data T-s chart'!$A$1,"PT",J$6,J79)</f>
        <v>7.275506135023827</v>
      </c>
      <c r="J79" s="16">
        <f t="shared" si="37"/>
        <v>605.6792908050443</v>
      </c>
      <c r="K79" s="16">
        <f>_XLL.ENTROPY('data T-s chart'!$A$1,"PT",L$6,L79)</f>
        <v>6.282300066531573</v>
      </c>
      <c r="L79" s="16">
        <f t="shared" si="35"/>
        <v>552.8886799999997</v>
      </c>
      <c r="M79" s="16">
        <f>_XLL.ENTROPY('data T-s chart'!$A$1,"PT",N$6,N79)</f>
        <v>5.3644169688170615</v>
      </c>
      <c r="N79" s="16">
        <f t="shared" si="40"/>
        <v>568.0029000028994</v>
      </c>
      <c r="P79" s="16">
        <f>_XLL.ENTROPY('data T-s chart'!$A$1,"Tv",Q79,Q$6)</f>
        <v>8.068743518317651</v>
      </c>
      <c r="Q79" s="16">
        <f t="shared" si="41"/>
        <v>568.0029000028994</v>
      </c>
      <c r="R79" s="16">
        <f>_XLL.ENTROPY('data T-s chart'!$A$1,"Tv",S79,S$6)</f>
        <v>6.075171241094945</v>
      </c>
      <c r="S79" s="16">
        <f t="shared" si="42"/>
        <v>568.0029000028994</v>
      </c>
      <c r="T79" s="16">
        <f>_XLL.ENTROPY('data T-s chart'!$A$1,"Tv",U79,U$6)</f>
        <v>5.200642597779036</v>
      </c>
      <c r="U79" s="16">
        <f t="shared" si="43"/>
        <v>568.0029000028994</v>
      </c>
      <c r="V79" s="16" t="str">
        <f>_XLL.ENTROPY('data T-s chart'!$A$1,"Tv",W79,W$6)</f>
        <v>Values of independents are not in range</v>
      </c>
      <c r="W79" s="16">
        <f t="shared" si="44"/>
        <v>568.0029000028994</v>
      </c>
      <c r="Y79" s="16">
        <f>_XLL.ENTROPY('data T-s chart'!$A$1,"Tq",Z79,Z$5)</f>
        <v>3.6919151917317494</v>
      </c>
      <c r="Z79" s="16">
        <f t="shared" si="45"/>
        <v>265.50456000289967</v>
      </c>
      <c r="AA79" s="16">
        <f>_XLL.ENTROPY('data T-s chart'!$A$1,"Tq",AB79,AB$5)</f>
        <v>4.448803925971406</v>
      </c>
      <c r="AB79" s="16">
        <f t="shared" si="46"/>
        <v>265.50456000289967</v>
      </c>
      <c r="AC79" s="16">
        <f>_XLL.ENTROPY('data T-s chart'!$A$1,"Tq",AD79,AD$5)</f>
        <v>5.205692660211064</v>
      </c>
      <c r="AD79" s="16">
        <f t="shared" si="47"/>
        <v>265.50456000289967</v>
      </c>
    </row>
    <row r="80" spans="1:30" ht="12.75">
      <c r="A80" s="16">
        <f>_XLL.ENTROPY('data T-s chart'!$A$1,"Tq",B80,0)</f>
        <v>2.969708949307572</v>
      </c>
      <c r="B80" s="16">
        <f t="shared" si="38"/>
        <v>269.29392000279967</v>
      </c>
      <c r="D80" s="16">
        <f>_XLL.ENTROPY('data T-s chart'!$A$1,"Tq",E80,1)</f>
        <v>5.935483398238702</v>
      </c>
      <c r="E80" s="16">
        <f t="shared" si="39"/>
        <v>269.29392000279967</v>
      </c>
      <c r="G80" s="16">
        <f>_XLL.ENTROPY('data T-s chart'!$A$1,"PT",H$6,H80)</f>
        <v>8.983656257694063</v>
      </c>
      <c r="H80" s="16">
        <f t="shared" si="36"/>
        <v>554.8620715139683</v>
      </c>
      <c r="I80" s="16">
        <f>_XLL.ENTROPY('data T-s chart'!$A$1,"PT",J$6,J80)</f>
        <v>7.293168600216517</v>
      </c>
      <c r="J80" s="16">
        <f t="shared" si="37"/>
        <v>612.3800049152152</v>
      </c>
      <c r="K80" s="16">
        <f>_XLL.ENTROPY('data T-s chart'!$A$1,"PT",L$6,L80)</f>
        <v>6.3133779519823925</v>
      </c>
      <c r="L80" s="16">
        <f t="shared" si="35"/>
        <v>561.4097599999997</v>
      </c>
      <c r="M80" s="16">
        <f>_XLL.ENTROPY('data T-s chart'!$A$1,"PT",N$6,N80)</f>
        <v>5.415518856939506</v>
      </c>
      <c r="N80" s="16">
        <f t="shared" si="40"/>
        <v>576.0028000027994</v>
      </c>
      <c r="P80" s="16">
        <f>_XLL.ENTROPY('data T-s chart'!$A$1,"Tv",Q80,Q$6)</f>
        <v>8.0851033282381</v>
      </c>
      <c r="Q80" s="16">
        <f t="shared" si="41"/>
        <v>576.0028000027994</v>
      </c>
      <c r="R80" s="16">
        <f>_XLL.ENTROPY('data T-s chart'!$A$1,"Tv",S80,S$6)</f>
        <v>6.095206659003988</v>
      </c>
      <c r="S80" s="16">
        <f t="shared" si="42"/>
        <v>576.0028000027994</v>
      </c>
      <c r="T80" s="16">
        <f>_XLL.ENTROPY('data T-s chart'!$A$1,"Tv",U80,U$6)</f>
        <v>5.224353414237874</v>
      </c>
      <c r="U80" s="16">
        <f t="shared" si="43"/>
        <v>576.0028000027994</v>
      </c>
      <c r="V80" s="16" t="str">
        <f>_XLL.ENTROPY('data T-s chart'!$A$1,"Tv",W80,W$6)</f>
        <v>Values of independents are not in range</v>
      </c>
      <c r="W80" s="16">
        <f t="shared" si="44"/>
        <v>576.0028000027994</v>
      </c>
      <c r="Y80" s="16">
        <f>_XLL.ENTROPY('data T-s chart'!$A$1,"Tq",Z80,Z$5)</f>
        <v>3.7108987474324646</v>
      </c>
      <c r="Z80" s="16">
        <f t="shared" si="45"/>
        <v>269.24392000279965</v>
      </c>
      <c r="AA80" s="16">
        <f>_XLL.ENTROPY('data T-s chart'!$A$1,"Tq",AB80,AB$5)</f>
        <v>4.452546517844124</v>
      </c>
      <c r="AB80" s="16">
        <f t="shared" si="46"/>
        <v>269.24392000279965</v>
      </c>
      <c r="AC80" s="16">
        <f>_XLL.ENTROPY('data T-s chart'!$A$1,"Tq",AD80,AD$5)</f>
        <v>5.194194288255783</v>
      </c>
      <c r="AD80" s="16">
        <f t="shared" si="47"/>
        <v>269.24392000279965</v>
      </c>
    </row>
    <row r="81" spans="1:30" ht="12.75">
      <c r="A81" s="16">
        <f>_XLL.ENTROPY('data T-s chart'!$A$1,"Tq",B81,0)</f>
        <v>3.003991104490228</v>
      </c>
      <c r="B81" s="16">
        <f t="shared" si="38"/>
        <v>273.03328000269966</v>
      </c>
      <c r="D81" s="16">
        <f>_XLL.ENTROPY('data T-s chart'!$A$1,"Tq",E81,1)</f>
        <v>5.908565363609244</v>
      </c>
      <c r="E81" s="16">
        <f t="shared" si="39"/>
        <v>273.03328000269966</v>
      </c>
      <c r="G81" s="16">
        <f>_XLL.ENTROPY('data T-s chart'!$A$1,"PT",H$6,H81)</f>
        <v>9.006531431723149</v>
      </c>
      <c r="H81" s="16">
        <f t="shared" si="36"/>
        <v>563.6169975313265</v>
      </c>
      <c r="I81" s="16">
        <f>_XLL.ENTROPY('data T-s chart'!$A$1,"PT",J$6,J81)</f>
        <v>7.310707746003513</v>
      </c>
      <c r="J81" s="16">
        <f t="shared" si="37"/>
        <v>619.0807190253861</v>
      </c>
      <c r="K81" s="16">
        <f>_XLL.ENTROPY('data T-s chart'!$A$1,"PT",L$6,L81)</f>
        <v>6.3437183882775106</v>
      </c>
      <c r="L81" s="16">
        <f t="shared" si="35"/>
        <v>569.9308399999996</v>
      </c>
      <c r="M81" s="16">
        <f>_XLL.ENTROPY('data T-s chart'!$A$1,"PT",N$6,N81)</f>
        <v>5.464401500911573</v>
      </c>
      <c r="N81" s="16">
        <f t="shared" si="40"/>
        <v>584.0027000026994</v>
      </c>
      <c r="P81" s="16">
        <f>_XLL.ENTROPY('data T-s chart'!$A$1,"Tv",Q81,Q$6)</f>
        <v>8.101360308443066</v>
      </c>
      <c r="Q81" s="16">
        <f t="shared" si="41"/>
        <v>584.0027000026994</v>
      </c>
      <c r="R81" s="16">
        <f>_XLL.ENTROPY('data T-s chart'!$A$1,"Tv",S81,S$6)</f>
        <v>6.114982060522818</v>
      </c>
      <c r="S81" s="16">
        <f t="shared" si="42"/>
        <v>584.0027000026994</v>
      </c>
      <c r="T81" s="16">
        <f>_XLL.ENTROPY('data T-s chart'!$A$1,"Tv",U81,U$6)</f>
        <v>5.247718683456184</v>
      </c>
      <c r="U81" s="16">
        <f t="shared" si="43"/>
        <v>584.0027000026994</v>
      </c>
      <c r="V81" s="16" t="str">
        <f>_XLL.ENTROPY('data T-s chart'!$A$1,"Tv",W81,W$6)</f>
        <v>Values of independents are not in range</v>
      </c>
      <c r="W81" s="16">
        <f t="shared" si="44"/>
        <v>584.0027000026994</v>
      </c>
      <c r="Y81" s="16">
        <f>_XLL.ENTROPY('data T-s chart'!$A$1,"Tq",Z81,Z$5)</f>
        <v>3.729880842953736</v>
      </c>
      <c r="Z81" s="16">
        <f t="shared" si="45"/>
        <v>272.98328000269964</v>
      </c>
      <c r="AA81" s="16">
        <f>_XLL.ENTROPY('data T-s chart'!$A$1,"Tq",AB81,AB$5)</f>
        <v>4.456229428540155</v>
      </c>
      <c r="AB81" s="16">
        <f t="shared" si="46"/>
        <v>272.98328000269964</v>
      </c>
      <c r="AC81" s="16">
        <f>_XLL.ENTROPY('data T-s chart'!$A$1,"Tq",AD81,AD$5)</f>
        <v>5.182578014126575</v>
      </c>
      <c r="AD81" s="16">
        <f t="shared" si="47"/>
        <v>272.98328000269964</v>
      </c>
    </row>
    <row r="82" spans="1:30" ht="12.75">
      <c r="A82" s="16">
        <f>_XLL.ENTROPY('data T-s chart'!$A$1,"Tq",B82,0)</f>
        <v>3.038347803301355</v>
      </c>
      <c r="B82" s="16">
        <f t="shared" si="38"/>
        <v>276.77264000259964</v>
      </c>
      <c r="D82" s="16">
        <f>_XLL.ENTROPY('data T-s chart'!$A$1,"Tq",E82,1)</f>
        <v>5.881437403629104</v>
      </c>
      <c r="E82" s="16">
        <f t="shared" si="39"/>
        <v>276.77264000259964</v>
      </c>
      <c r="G82" s="16">
        <f>_XLL.ENTROPY('data T-s chart'!$A$1,"PT",H$6,H82)</f>
        <v>9.029231374642109</v>
      </c>
      <c r="H82" s="16">
        <f t="shared" si="36"/>
        <v>572.3719235486848</v>
      </c>
      <c r="I82" s="16">
        <f>_XLL.ENTROPY('data T-s chart'!$A$1,"PT",J$6,J82)</f>
        <v>7.328126430098301</v>
      </c>
      <c r="J82" s="16">
        <f t="shared" si="37"/>
        <v>625.781433135557</v>
      </c>
      <c r="K82" s="16">
        <f>_XLL.ENTROPY('data T-s chart'!$A$1,"PT",L$6,L82)</f>
        <v>6.373377437072896</v>
      </c>
      <c r="L82" s="16">
        <f t="shared" si="35"/>
        <v>578.4519199999996</v>
      </c>
      <c r="M82" s="16">
        <f>_XLL.ENTROPY('data T-s chart'!$A$1,"PT",N$6,N82)</f>
        <v>5.511209029423421</v>
      </c>
      <c r="N82" s="16">
        <f t="shared" si="40"/>
        <v>592.0026000025994</v>
      </c>
      <c r="P82" s="16">
        <f>_XLL.ENTROPY('data T-s chart'!$A$1,"Tv",Q82,Q$6)</f>
        <v>8.11751651099075</v>
      </c>
      <c r="Q82" s="16">
        <f t="shared" si="41"/>
        <v>592.0026000025994</v>
      </c>
      <c r="R82" s="16">
        <f>_XLL.ENTROPY('data T-s chart'!$A$1,"Tv",S82,S$6)</f>
        <v>6.134509897361115</v>
      </c>
      <c r="S82" s="16">
        <f t="shared" si="42"/>
        <v>592.0026000025994</v>
      </c>
      <c r="T82" s="16">
        <f>_XLL.ENTROPY('data T-s chart'!$A$1,"Tv",U82,U$6)</f>
        <v>5.270773057094531</v>
      </c>
      <c r="U82" s="16">
        <f t="shared" si="43"/>
        <v>592.0026000025994</v>
      </c>
      <c r="V82" s="16" t="str">
        <f>_XLL.ENTROPY('data T-s chart'!$A$1,"Tv",W82,W$6)</f>
        <v>Values of independents are not in range</v>
      </c>
      <c r="W82" s="16">
        <f t="shared" si="44"/>
        <v>592.0026000025994</v>
      </c>
      <c r="Y82" s="16">
        <f>_XLL.ENTROPY('data T-s chart'!$A$1,"Tq",Z82,Z$5)</f>
        <v>3.74886629756684</v>
      </c>
      <c r="Z82" s="16">
        <f t="shared" si="45"/>
        <v>276.72264000259963</v>
      </c>
      <c r="AA82" s="16">
        <f>_XLL.ENTROPY('data T-s chart'!$A$1,"Tq",AB82,AB$5)</f>
        <v>4.4598447575182245</v>
      </c>
      <c r="AB82" s="16">
        <f t="shared" si="46"/>
        <v>276.72264000259963</v>
      </c>
      <c r="AC82" s="16">
        <f>_XLL.ENTROPY('data T-s chart'!$A$1,"Tq",AD82,AD$5)</f>
        <v>5.17082321746961</v>
      </c>
      <c r="AD82" s="16">
        <f t="shared" si="47"/>
        <v>276.72264000259963</v>
      </c>
    </row>
    <row r="83" spans="1:30" ht="12.75">
      <c r="A83" s="16">
        <f>_XLL.ENTROPY('data T-s chart'!$A$1,"Tq",B83,0)</f>
        <v>3.0727980303610734</v>
      </c>
      <c r="B83" s="16">
        <f t="shared" si="38"/>
        <v>280.51200000249963</v>
      </c>
      <c r="D83" s="16">
        <f>_XLL.ENTROPY('data T-s chart'!$A$1,"Tq",E83,1)</f>
        <v>5.854063626528018</v>
      </c>
      <c r="E83" s="16">
        <f t="shared" si="39"/>
        <v>280.51200000249963</v>
      </c>
      <c r="G83" s="16">
        <f>_XLL.ENTROPY('data T-s chart'!$A$1,"PT",H$6,H83)</f>
        <v>9.051759862019285</v>
      </c>
      <c r="H83" s="16">
        <f t="shared" si="36"/>
        <v>581.126849566043</v>
      </c>
      <c r="I83" s="16">
        <f>_XLL.ENTROPY('data T-s chart'!$A$1,"PT",J$6,J83)</f>
        <v>7.345427390687404</v>
      </c>
      <c r="J83" s="16">
        <f t="shared" si="37"/>
        <v>632.4821472457279</v>
      </c>
      <c r="K83" s="16">
        <f>_XLL.ENTROPY('data T-s chart'!$A$1,"PT",L$6,L83)</f>
        <v>6.402404591293391</v>
      </c>
      <c r="L83" s="16">
        <f t="shared" si="35"/>
        <v>586.9729999999996</v>
      </c>
      <c r="M83" s="16">
        <f>_XLL.ENTROPY('data T-s chart'!$A$1,"PT",N$6,N83)</f>
        <v>5.556090122200906</v>
      </c>
      <c r="N83" s="16">
        <f t="shared" si="40"/>
        <v>600.0025000024993</v>
      </c>
      <c r="P83" s="16">
        <f>_XLL.ENTROPY('data T-s chart'!$A$1,"Tv",Q83,Q$6)</f>
        <v>8.133573927894531</v>
      </c>
      <c r="Q83" s="16">
        <f t="shared" si="41"/>
        <v>600.0025000024993</v>
      </c>
      <c r="R83" s="16">
        <f>_XLL.ENTROPY('data T-s chart'!$A$1,"Tv",S83,S$6)</f>
        <v>6.153801570133446</v>
      </c>
      <c r="S83" s="16">
        <f t="shared" si="42"/>
        <v>600.0025000024993</v>
      </c>
      <c r="T83" s="16">
        <f>_XLL.ENTROPY('data T-s chart'!$A$1,"Tv",U83,U$6)</f>
        <v>5.29353892122008</v>
      </c>
      <c r="U83" s="16">
        <f t="shared" si="43"/>
        <v>600.0025000024993</v>
      </c>
      <c r="V83" s="16" t="str">
        <f>_XLL.ENTROPY('data T-s chart'!$A$1,"Tv",W83,W$6)</f>
        <v>Values of independents are not in range</v>
      </c>
      <c r="W83" s="16">
        <f t="shared" si="44"/>
        <v>600.0025000024993</v>
      </c>
      <c r="Y83" s="16">
        <f>_XLL.ENTROPY('data T-s chart'!$A$1,"Tq",Z83,Z$5)</f>
        <v>3.767860370504261</v>
      </c>
      <c r="Z83" s="16">
        <f t="shared" si="45"/>
        <v>280.4620000024996</v>
      </c>
      <c r="AA83" s="16">
        <f>_XLL.ENTROPY('data T-s chart'!$A$1,"Tq",AB83,AB$5)</f>
        <v>4.463384059074652</v>
      </c>
      <c r="AB83" s="16">
        <f t="shared" si="46"/>
        <v>280.4620000024996</v>
      </c>
      <c r="AC83" s="16">
        <f>_XLL.ENTROPY('data T-s chart'!$A$1,"Tq",AD83,AD$5)</f>
        <v>5.158907747645044</v>
      </c>
      <c r="AD83" s="16">
        <f t="shared" si="47"/>
        <v>280.4620000024996</v>
      </c>
    </row>
    <row r="84" spans="1:30" ht="12.75">
      <c r="A84" s="16">
        <f>_XLL.ENTROPY('data T-s chart'!$A$1,"Tq",B84,0)</f>
        <v>3.1073624148016377</v>
      </c>
      <c r="B84" s="16">
        <f t="shared" si="38"/>
        <v>284.2513600023996</v>
      </c>
      <c r="D84" s="16">
        <f>_XLL.ENTROPY('data T-s chart'!$A$1,"Tq",E84,1)</f>
        <v>5.826405230095496</v>
      </c>
      <c r="E84" s="16">
        <f t="shared" si="39"/>
        <v>284.2513600023996</v>
      </c>
      <c r="G84" s="16">
        <f>_XLL.ENTROPY('data T-s chart'!$A$1,"PT",H$6,H84)</f>
        <v>9.074120539367174</v>
      </c>
      <c r="H84" s="16">
        <f t="shared" si="36"/>
        <v>589.8817755834012</v>
      </c>
      <c r="I84" s="16">
        <f>_XLL.ENTROPY('data T-s chart'!$A$1,"PT",J$6,J84)</f>
        <v>7.362613253880571</v>
      </c>
      <c r="J84" s="16">
        <f t="shared" si="37"/>
        <v>639.1828613558988</v>
      </c>
      <c r="K84" s="16">
        <f>_XLL.ENTROPY('data T-s chart'!$A$1,"PT",L$6,L84)</f>
        <v>6.430843761369772</v>
      </c>
      <c r="L84" s="16">
        <f t="shared" si="35"/>
        <v>595.4940799999996</v>
      </c>
      <c r="M84" s="16">
        <f>_XLL.ENTROPY('data T-s chart'!$A$1,"PT",N$6,N84)</f>
        <v>5.59919492045426</v>
      </c>
      <c r="N84" s="16">
        <f t="shared" si="40"/>
        <v>608.0024000023993</v>
      </c>
      <c r="P84" s="16">
        <f>_XLL.ENTROPY('data T-s chart'!$A$1,"Tv",Q84,Q$6)</f>
        <v>8.149534477399946</v>
      </c>
      <c r="Q84" s="16">
        <f t="shared" si="41"/>
        <v>608.0024000023993</v>
      </c>
      <c r="R84" s="16">
        <f>_XLL.ENTROPY('data T-s chart'!$A$1,"Tv",S84,S$6)</f>
        <v>6.17286751016618</v>
      </c>
      <c r="S84" s="16">
        <f t="shared" si="42"/>
        <v>608.0024000023993</v>
      </c>
      <c r="T84" s="16">
        <f>_XLL.ENTROPY('data T-s chart'!$A$1,"Tv",U84,U$6)</f>
        <v>5.316024188269703</v>
      </c>
      <c r="U84" s="16">
        <f t="shared" si="43"/>
        <v>608.0024000023993</v>
      </c>
      <c r="V84" s="16" t="str">
        <f>_XLL.ENTROPY('data T-s chart'!$A$1,"Tv",W84,W$6)</f>
        <v>Values of independents are not in range</v>
      </c>
      <c r="W84" s="16">
        <f t="shared" si="44"/>
        <v>608.0024000023993</v>
      </c>
      <c r="Y84" s="16">
        <f>_XLL.ENTROPY('data T-s chart'!$A$1,"Tq",Z84,Z$5)</f>
        <v>3.786868825806385</v>
      </c>
      <c r="Z84" s="16">
        <f t="shared" si="45"/>
        <v>284.2013600023996</v>
      </c>
      <c r="AA84" s="16">
        <f>_XLL.ENTROPY('data T-s chart'!$A$1,"Tq",AB84,AB$5)</f>
        <v>4.46683825571721</v>
      </c>
      <c r="AB84" s="16">
        <f t="shared" si="46"/>
        <v>284.2013600023996</v>
      </c>
      <c r="AC84" s="16">
        <f>_XLL.ENTROPY('data T-s chart'!$A$1,"Tq",AD84,AD$5)</f>
        <v>5.146807685628036</v>
      </c>
      <c r="AD84" s="16">
        <f t="shared" si="47"/>
        <v>284.2013600023996</v>
      </c>
    </row>
    <row r="85" spans="1:30" ht="12.75">
      <c r="A85" s="16">
        <f>_XLL.ENTROPY('data T-s chart'!$A$1,"Tq",B85,0)</f>
        <v>3.142063480246301</v>
      </c>
      <c r="B85" s="16">
        <f t="shared" si="38"/>
        <v>287.9907200022996</v>
      </c>
      <c r="D85" s="16">
        <f>_XLL.ENTROPY('data T-s chart'!$A$1,"Tq",E85,1)</f>
        <v>5.798420071294438</v>
      </c>
      <c r="E85" s="16">
        <f t="shared" si="39"/>
        <v>287.9907200022996</v>
      </c>
      <c r="G85" s="16">
        <f>_XLL.ENTROPY('data T-s chart'!$A$1,"PT",H$6,H85)</f>
        <v>9.096316927667234</v>
      </c>
      <c r="H85" s="16">
        <f t="shared" si="36"/>
        <v>598.6367016007595</v>
      </c>
      <c r="I85" s="16">
        <f>_XLL.ENTROPY('data T-s chart'!$A$1,"PT",J$6,J85)</f>
        <v>7.379686540549534</v>
      </c>
      <c r="J85" s="16">
        <f t="shared" si="37"/>
        <v>645.8835754660697</v>
      </c>
      <c r="K85" s="16">
        <f>_XLL.ENTROPY('data T-s chart'!$A$1,"PT",L$6,L85)</f>
        <v>6.458734085270404</v>
      </c>
      <c r="L85" s="16">
        <f t="shared" si="35"/>
        <v>604.0151599999996</v>
      </c>
      <c r="M85" s="16">
        <f>_XLL.ENTROPY('data T-s chart'!$A$1,"PT",N$6,N85)</f>
        <v>5.640668922922759</v>
      </c>
      <c r="N85" s="16">
        <f t="shared" si="40"/>
        <v>616.0023000022993</v>
      </c>
      <c r="P85" s="16">
        <f>_XLL.ENTROPY('data T-s chart'!$A$1,"Tv",Q85,Q$6)</f>
        <v>8.165400018790866</v>
      </c>
      <c r="Q85" s="16">
        <f t="shared" si="41"/>
        <v>616.0023000022993</v>
      </c>
      <c r="R85" s="16">
        <f>_XLL.ENTROPY('data T-s chart'!$A$1,"Tv",S85,S$6)</f>
        <v>6.191717263340768</v>
      </c>
      <c r="S85" s="16">
        <f t="shared" si="42"/>
        <v>616.0023000022993</v>
      </c>
      <c r="T85" s="16">
        <f>_XLL.ENTROPY('data T-s chart'!$A$1,"Tv",U85,U$6)</f>
        <v>5.338224678401559</v>
      </c>
      <c r="U85" s="16">
        <f t="shared" si="43"/>
        <v>616.0023000022993</v>
      </c>
      <c r="V85" s="16" t="str">
        <f>_XLL.ENTROPY('data T-s chart'!$A$1,"Tv",W85,W$6)</f>
        <v>Values of independents are not in range</v>
      </c>
      <c r="W85" s="16">
        <f t="shared" si="44"/>
        <v>616.0023000022993</v>
      </c>
      <c r="Y85" s="16">
        <f>_XLL.ENTROPY('data T-s chart'!$A$1,"Tq",Z85,Z$5)</f>
        <v>3.805898012008239</v>
      </c>
      <c r="Z85" s="16">
        <f t="shared" si="45"/>
        <v>287.9407200022996</v>
      </c>
      <c r="AA85" s="16">
        <f>_XLL.ENTROPY('data T-s chart'!$A$1,"Tq",AB85,AB$5)</f>
        <v>4.470197548033409</v>
      </c>
      <c r="AB85" s="16">
        <f t="shared" si="46"/>
        <v>287.9407200022996</v>
      </c>
      <c r="AC85" s="16">
        <f>_XLL.ENTROPY('data T-s chart'!$A$1,"Tq",AD85,AD$5)</f>
        <v>5.134497084058578</v>
      </c>
      <c r="AD85" s="16">
        <f t="shared" si="47"/>
        <v>287.9407200022996</v>
      </c>
    </row>
    <row r="86" spans="1:30" ht="12.75">
      <c r="A86" s="16">
        <f>_XLL.ENTROPY('data T-s chart'!$A$1,"Tq",B86,0)</f>
        <v>3.1769259328443096</v>
      </c>
      <c r="B86" s="16">
        <f t="shared" si="38"/>
        <v>291.7300800021996</v>
      </c>
      <c r="D86" s="16">
        <f>_XLL.ENTROPY('data T-s chart'!$A$1,"Tq",E86,1)</f>
        <v>5.770062179656217</v>
      </c>
      <c r="E86" s="16">
        <f t="shared" si="39"/>
        <v>291.7300800021996</v>
      </c>
      <c r="G86" s="16">
        <f>_XLL.ENTROPY('data T-s chart'!$A$1,"PT",H$6,H86)</f>
        <v>9.118352428654141</v>
      </c>
      <c r="H86" s="16">
        <f t="shared" si="36"/>
        <v>607.3916276181177</v>
      </c>
      <c r="I86" s="16">
        <f>_XLL.ENTROPY('data T-s chart'!$A$1,"PT",J$6,J86)</f>
        <v>7.396649672619161</v>
      </c>
      <c r="J86" s="16">
        <f t="shared" si="37"/>
        <v>652.5842895762406</v>
      </c>
      <c r="K86" s="16">
        <f>_XLL.ENTROPY('data T-s chart'!$A$1,"PT",L$6,L86)</f>
        <v>6.486110598416496</v>
      </c>
      <c r="L86" s="16">
        <f t="shared" si="35"/>
        <v>612.5362399999996</v>
      </c>
      <c r="M86" s="16">
        <f>_XLL.ENTROPY('data T-s chart'!$A$1,"PT",N$6,N86)</f>
        <v>5.680647916393752</v>
      </c>
      <c r="N86" s="16">
        <f t="shared" si="40"/>
        <v>624.0022000021993</v>
      </c>
      <c r="P86" s="16">
        <f>_XLL.ENTROPY('data T-s chart'!$A$1,"Tv",Q86,Q$6)</f>
        <v>8.18117234969991</v>
      </c>
      <c r="Q86" s="16">
        <f t="shared" si="41"/>
        <v>624.0022000021993</v>
      </c>
      <c r="R86" s="16">
        <f>_XLL.ENTROPY('data T-s chart'!$A$1,"Tv",S86,S$6)</f>
        <v>6.210359574169083</v>
      </c>
      <c r="S86" s="16">
        <f t="shared" si="42"/>
        <v>624.0022000021993</v>
      </c>
      <c r="T86" s="16">
        <f>_XLL.ENTROPY('data T-s chart'!$A$1,"Tv",U86,U$6)</f>
        <v>5.360129190490591</v>
      </c>
      <c r="U86" s="16">
        <f t="shared" si="43"/>
        <v>624.0022000021993</v>
      </c>
      <c r="V86" s="16" t="str">
        <f>_XLL.ENTROPY('data T-s chart'!$A$1,"Tv",W86,W$6)</f>
        <v>Values of independents are not in range</v>
      </c>
      <c r="W86" s="16">
        <f t="shared" si="44"/>
        <v>624.0022000021993</v>
      </c>
      <c r="Y86" s="16">
        <f>_XLL.ENTROPY('data T-s chart'!$A$1,"Tq",Z86,Z$5)</f>
        <v>3.824954956333027</v>
      </c>
      <c r="Z86" s="16">
        <f t="shared" si="45"/>
        <v>291.6800800021996</v>
      </c>
      <c r="AA86" s="16">
        <f>_XLL.ENTROPY('data T-s chart'!$A$1,"Tq",AB86,AB$5)</f>
        <v>4.47345131558941</v>
      </c>
      <c r="AB86" s="16">
        <f t="shared" si="46"/>
        <v>291.6800800021996</v>
      </c>
      <c r="AC86" s="16">
        <f>_XLL.ENTROPY('data T-s chart'!$A$1,"Tq",AD86,AD$5)</f>
        <v>5.121947674845792</v>
      </c>
      <c r="AD86" s="16">
        <f t="shared" si="47"/>
        <v>291.6800800021996</v>
      </c>
    </row>
    <row r="87" spans="1:30" ht="12.75">
      <c r="A87" s="16">
        <f>_XLL.ENTROPY('data T-s chart'!$A$1,"Tq",B87,0)</f>
        <v>3.211976993975136</v>
      </c>
      <c r="B87" s="16">
        <f t="shared" si="38"/>
        <v>295.4694400020996</v>
      </c>
      <c r="D87" s="16">
        <f>_XLL.ENTROPY('data T-s chart'!$A$1,"Tq",E87,1)</f>
        <v>5.741281183660873</v>
      </c>
      <c r="E87" s="16">
        <f t="shared" si="39"/>
        <v>295.4694400020996</v>
      </c>
      <c r="G87" s="16">
        <f>_XLL.ENTROPY('data T-s chart'!$A$1,"PT",H$6,H87)</f>
        <v>9.140230329879287</v>
      </c>
      <c r="H87" s="16">
        <f t="shared" si="36"/>
        <v>616.1465536354759</v>
      </c>
      <c r="I87" s="16">
        <f>_XLL.ENTROPY('data T-s chart'!$A$1,"PT",J$6,J87)</f>
        <v>7.413504978867449</v>
      </c>
      <c r="J87" s="16">
        <f t="shared" si="37"/>
        <v>659.2850036864115</v>
      </c>
      <c r="K87" s="16">
        <f>_XLL.ENTROPY('data T-s chart'!$A$1,"PT",L$6,L87)</f>
        <v>6.513004791356128</v>
      </c>
      <c r="L87" s="16">
        <f t="shared" si="35"/>
        <v>621.0573199999995</v>
      </c>
      <c r="M87" s="16">
        <f>_XLL.ENTROPY('data T-s chart'!$A$1,"PT",N$6,N87)</f>
        <v>5.719255150319367</v>
      </c>
      <c r="N87" s="16">
        <f t="shared" si="40"/>
        <v>632.0021000020993</v>
      </c>
      <c r="P87" s="16">
        <f>_XLL.ENTROPY('data T-s chart'!$A$1,"Tv",Q87,Q$6)</f>
        <v>8.196853209796863</v>
      </c>
      <c r="Q87" s="16">
        <f t="shared" si="41"/>
        <v>632.0021000020993</v>
      </c>
      <c r="R87" s="16">
        <f>_XLL.ENTROPY('data T-s chart'!$A$1,"Tv",S87,S$6)</f>
        <v>6.228802468041675</v>
      </c>
      <c r="S87" s="16">
        <f t="shared" si="42"/>
        <v>632.0021000020993</v>
      </c>
      <c r="T87" s="16">
        <f>_XLL.ENTROPY('data T-s chart'!$A$1,"Tv",U87,U$6)</f>
        <v>5.381725420529588</v>
      </c>
      <c r="U87" s="16">
        <f t="shared" si="43"/>
        <v>632.0021000020993</v>
      </c>
      <c r="V87" s="16" t="str">
        <f>_XLL.ENTROPY('data T-s chart'!$A$1,"Tv",W87,W$6)</f>
        <v>Values of independents are not in range</v>
      </c>
      <c r="W87" s="16">
        <f t="shared" si="44"/>
        <v>632.0021000020993</v>
      </c>
      <c r="Y87" s="16">
        <f>_XLL.ENTROPY('data T-s chart'!$A$1,"Tq",Z87,Z$5)</f>
        <v>3.844047470687795</v>
      </c>
      <c r="Z87" s="16">
        <f t="shared" si="45"/>
        <v>295.4194400020996</v>
      </c>
      <c r="AA87" s="16">
        <f>_XLL.ENTROPY('data T-s chart'!$A$1,"Tq",AB87,AB$5)</f>
        <v>4.476587996871523</v>
      </c>
      <c r="AB87" s="16">
        <f t="shared" si="46"/>
        <v>295.4194400020996</v>
      </c>
      <c r="AC87" s="16">
        <f>_XLL.ENTROPY('data T-s chart'!$A$1,"Tq",AD87,AD$5)</f>
        <v>5.109128523055251</v>
      </c>
      <c r="AD87" s="16">
        <f t="shared" si="47"/>
        <v>295.4194400020996</v>
      </c>
    </row>
    <row r="88" spans="1:30" ht="12.75">
      <c r="A88" s="16">
        <f>_XLL.ENTROPY('data T-s chart'!$A$1,"Tq",B88,0)</f>
        <v>3.2472467880558216</v>
      </c>
      <c r="B88" s="16">
        <f t="shared" si="38"/>
        <v>299.2088000019996</v>
      </c>
      <c r="D88" s="16">
        <f>_XLL.ENTROPY('data T-s chart'!$A$1,"Tq",E88,1)</f>
        <v>5.712021597817377</v>
      </c>
      <c r="E88" s="16">
        <f t="shared" si="39"/>
        <v>299.2088000019996</v>
      </c>
      <c r="G88" s="16">
        <f>_XLL.ENTROPY('data T-s chart'!$A$1,"PT",H$6,H88)</f>
        <v>9.161953809571484</v>
      </c>
      <c r="H88" s="16">
        <f t="shared" si="36"/>
        <v>624.9014796528342</v>
      </c>
      <c r="I88" s="16">
        <f>_XLL.ENTROPY('data T-s chart'!$A$1,"PT",J$6,J88)</f>
        <v>7.43025470028439</v>
      </c>
      <c r="J88" s="16">
        <f t="shared" si="37"/>
        <v>665.9857177965824</v>
      </c>
      <c r="K88" s="16">
        <f>_XLL.ENTROPY('data T-s chart'!$A$1,"PT",L$6,L88)</f>
        <v>6.539445076893807</v>
      </c>
      <c r="L88" s="16">
        <f t="shared" si="35"/>
        <v>629.5783999999995</v>
      </c>
      <c r="M88" s="16">
        <f>_XLL.ENTROPY('data T-s chart'!$A$1,"PT",N$6,N88)</f>
        <v>5.756600561637738</v>
      </c>
      <c r="N88" s="16">
        <f t="shared" si="40"/>
        <v>640.0020000019992</v>
      </c>
      <c r="P88" s="16">
        <f>_XLL.ENTROPY('data T-s chart'!$A$1,"Tv",Q88,Q$6)</f>
        <v>8.212444283286231</v>
      </c>
      <c r="Q88" s="16">
        <f t="shared" si="41"/>
        <v>640.0020000019992</v>
      </c>
      <c r="R88" s="16">
        <f>_XLL.ENTROPY('data T-s chart'!$A$1,"Tv",S88,S$6)</f>
        <v>6.247053330116648</v>
      </c>
      <c r="S88" s="16">
        <f t="shared" si="42"/>
        <v>640.0020000019992</v>
      </c>
      <c r="T88" s="16">
        <f>_XLL.ENTROPY('data T-s chart'!$A$1,"Tv",U88,U$6)</f>
        <v>5.403005289349749</v>
      </c>
      <c r="U88" s="16">
        <f t="shared" si="43"/>
        <v>640.0020000019992</v>
      </c>
      <c r="V88" s="16" t="str">
        <f>_XLL.ENTROPY('data T-s chart'!$A$1,"Tv",W88,W$6)</f>
        <v>Values of independents are not in range</v>
      </c>
      <c r="W88" s="16">
        <f t="shared" si="44"/>
        <v>640.0020000019992</v>
      </c>
      <c r="Y88" s="16">
        <f>_XLL.ENTROPY('data T-s chart'!$A$1,"Tq",Z88,Z$5)</f>
        <v>3.863184264245136</v>
      </c>
      <c r="Z88" s="16">
        <f t="shared" si="45"/>
        <v>299.15880000199957</v>
      </c>
      <c r="AA88" s="16">
        <f>_XLL.ENTROPY('data T-s chart'!$A$1,"Tq",AB88,AB$5)</f>
        <v>4.479594927475287</v>
      </c>
      <c r="AB88" s="16">
        <f t="shared" si="46"/>
        <v>299.15880000199957</v>
      </c>
      <c r="AC88" s="16">
        <f>_XLL.ENTROPY('data T-s chart'!$A$1,"Tq",AD88,AD$5)</f>
        <v>5.096005590705438</v>
      </c>
      <c r="AD88" s="16">
        <f t="shared" si="47"/>
        <v>299.15880000199957</v>
      </c>
    </row>
    <row r="89" spans="1:30" ht="12.75">
      <c r="A89" s="16">
        <f>_XLL.ENTROPY('data T-s chart'!$A$1,"Tq",B89,0)</f>
        <v>3.2827688034567992</v>
      </c>
      <c r="B89" s="16">
        <f t="shared" si="38"/>
        <v>302.94816000189957</v>
      </c>
      <c r="D89" s="16">
        <f>_XLL.ENTROPY('data T-s chart'!$A$1,"Tq",E89,1)</f>
        <v>5.6822218899849695</v>
      </c>
      <c r="E89" s="16">
        <f t="shared" si="39"/>
        <v>302.94816000189957</v>
      </c>
      <c r="G89" s="16">
        <f>_XLL.ENTROPY('data T-s chart'!$A$1,"PT",H$6,H89)</f>
        <v>9.183525941311014</v>
      </c>
      <c r="H89" s="16">
        <f t="shared" si="36"/>
        <v>633.6564056701924</v>
      </c>
      <c r="I89" s="16">
        <f>_XLL.ENTROPY('data T-s chart'!$A$1,"PT",J$6,J89)</f>
        <v>7.446900995033933</v>
      </c>
      <c r="J89" s="16">
        <f t="shared" si="37"/>
        <v>672.6864319067533</v>
      </c>
      <c r="K89" s="16">
        <f>_XLL.ENTROPY('data T-s chart'!$A$1,"PT",L$6,L89)</f>
        <v>6.565457183682173</v>
      </c>
      <c r="L89" s="16">
        <f t="shared" si="35"/>
        <v>638.0994799999995</v>
      </c>
      <c r="M89" s="16">
        <f>_XLL.ENTROPY('data T-s chart'!$A$1,"PT",N$6,N89)</f>
        <v>5.7927814039702925</v>
      </c>
      <c r="N89" s="16">
        <f t="shared" si="40"/>
        <v>648.0019000018992</v>
      </c>
      <c r="P89" s="16">
        <f>_XLL.ENTROPY('data T-s chart'!$A$1,"Tv",Q89,Q$6)</f>
        <v>8.22794720131049</v>
      </c>
      <c r="Q89" s="16">
        <f t="shared" si="41"/>
        <v>648.0019000018992</v>
      </c>
      <c r="R89" s="16">
        <f>_XLL.ENTROPY('data T-s chart'!$A$1,"Tv",S89,S$6)</f>
        <v>6.265118979607544</v>
      </c>
      <c r="S89" s="16">
        <f t="shared" si="42"/>
        <v>648.0019000018992</v>
      </c>
      <c r="T89" s="16">
        <f>_XLL.ENTROPY('data T-s chart'!$A$1,"Tv",U89,U$6)</f>
        <v>5.42396874497792</v>
      </c>
      <c r="U89" s="16">
        <f t="shared" si="43"/>
        <v>648.0019000018992</v>
      </c>
      <c r="V89" s="16" t="str">
        <f>_XLL.ENTROPY('data T-s chart'!$A$1,"Tv",W89,W$6)</f>
        <v>Values of independents are not in range</v>
      </c>
      <c r="W89" s="16">
        <f t="shared" si="44"/>
        <v>648.0019000018992</v>
      </c>
      <c r="Y89" s="16">
        <f>_XLL.ENTROPY('data T-s chart'!$A$1,"Tq",Z89,Z$5)</f>
        <v>3.8823750560022687</v>
      </c>
      <c r="Z89" s="16">
        <f t="shared" si="45"/>
        <v>302.89816000189956</v>
      </c>
      <c r="AA89" s="16">
        <f>_XLL.ENTROPY('data T-s chart'!$A$1,"Tq",AB89,AB$5)</f>
        <v>4.482458105455865</v>
      </c>
      <c r="AB89" s="16">
        <f t="shared" si="46"/>
        <v>302.89816000189956</v>
      </c>
      <c r="AC89" s="16">
        <f>_XLL.ENTROPY('data T-s chart'!$A$1,"Tq",AD89,AD$5)</f>
        <v>5.08254115490946</v>
      </c>
      <c r="AD89" s="16">
        <f t="shared" si="47"/>
        <v>302.89816000189956</v>
      </c>
    </row>
    <row r="90" spans="1:30" ht="12.75">
      <c r="A90" s="16">
        <f>_XLL.ENTROPY('data T-s chart'!$A$1,"Tq",B90,0)</f>
        <v>3.3185804584981873</v>
      </c>
      <c r="B90" s="16">
        <f t="shared" si="38"/>
        <v>306.68752000179956</v>
      </c>
      <c r="D90" s="16">
        <f>_XLL.ENTROPY('data T-s chart'!$A$1,"Tq",E90,1)</f>
        <v>5.651813214814169</v>
      </c>
      <c r="E90" s="16">
        <f t="shared" si="39"/>
        <v>306.68752000179956</v>
      </c>
      <c r="G90" s="16">
        <f>_XLL.ENTROPY('data T-s chart'!$A$1,"PT",H$6,H90)</f>
        <v>9.204949698531813</v>
      </c>
      <c r="H90" s="16">
        <f t="shared" si="36"/>
        <v>642.4113316875506</v>
      </c>
      <c r="I90" s="16">
        <f>_XLL.ENTROPY('data T-s chart'!$A$1,"PT",J$6,J90)</f>
        <v>7.463445943058415</v>
      </c>
      <c r="J90" s="16">
        <f t="shared" si="37"/>
        <v>679.3871460169242</v>
      </c>
      <c r="K90" s="16">
        <f>_XLL.ENTROPY('data T-s chart'!$A$1,"PT",L$6,L90)</f>
        <v>6.591064489694321</v>
      </c>
      <c r="L90" s="16">
        <f t="shared" si="35"/>
        <v>646.6205599999995</v>
      </c>
      <c r="M90" s="16">
        <f>_XLL.ENTROPY('data T-s chart'!$A$1,"PT",N$6,N90)</f>
        <v>5.82788363421373</v>
      </c>
      <c r="N90" s="16">
        <f t="shared" si="40"/>
        <v>656.0018000017992</v>
      </c>
      <c r="P90" s="16">
        <f>_XLL.ENTROPY('data T-s chart'!$A$1,"Tv",Q90,Q$6)</f>
        <v>8.243363544267845</v>
      </c>
      <c r="Q90" s="16">
        <f t="shared" si="41"/>
        <v>656.0018000017992</v>
      </c>
      <c r="R90" s="16">
        <f>_XLL.ENTROPY('data T-s chart'!$A$1,"Tv",S90,S$6)</f>
        <v>6.283005738580671</v>
      </c>
      <c r="S90" s="16">
        <f t="shared" si="42"/>
        <v>656.0018000017992</v>
      </c>
      <c r="T90" s="16" t="str">
        <f>_XLL.ENTROPY('data T-s chart'!$A$1,"Tv",U90,U$6)</f>
        <v>Values of independents are not in range</v>
      </c>
      <c r="U90" s="16">
        <f t="shared" si="43"/>
        <v>656.0018000017992</v>
      </c>
      <c r="V90" s="16" t="str">
        <f>_XLL.ENTROPY('data T-s chart'!$A$1,"Tv",W90,W$6)</f>
        <v>Values of independents are not in range</v>
      </c>
      <c r="W90" s="16">
        <f t="shared" si="44"/>
        <v>656.0018000017992</v>
      </c>
      <c r="Y90" s="16">
        <f>_XLL.ENTROPY('data T-s chart'!$A$1,"Tq",Z90,Z$5)</f>
        <v>3.901630682702125</v>
      </c>
      <c r="Z90" s="16">
        <f t="shared" si="45"/>
        <v>306.63752000179954</v>
      </c>
      <c r="AA90" s="16">
        <f>_XLL.ENTROPY('data T-s chart'!$A$1,"Tq",AB90,AB$5)</f>
        <v>4.4851618428808955</v>
      </c>
      <c r="AB90" s="16">
        <f t="shared" si="46"/>
        <v>306.63752000179954</v>
      </c>
      <c r="AC90" s="16">
        <f>_XLL.ENTROPY('data T-s chart'!$A$1,"Tq",AD90,AD$5)</f>
        <v>5.068693003059666</v>
      </c>
      <c r="AD90" s="16">
        <f t="shared" si="47"/>
        <v>306.63752000179954</v>
      </c>
    </row>
    <row r="91" spans="1:30" ht="12.75">
      <c r="A91" s="16">
        <f>_XLL.ENTROPY('data T-s chart'!$A$1,"Tq",B91,0)</f>
        <v>3.3547238285696115</v>
      </c>
      <c r="B91" s="16">
        <f t="shared" si="38"/>
        <v>310.42688000169954</v>
      </c>
      <c r="D91" s="16">
        <f>_XLL.ENTROPY('data T-s chart'!$A$1,"Tq",E91,1)</f>
        <v>5.62071766292506</v>
      </c>
      <c r="E91" s="16">
        <f t="shared" si="39"/>
        <v>310.42688000169954</v>
      </c>
      <c r="G91" s="16">
        <f>_XLL.ENTROPY('data T-s chart'!$A$1,"PT",H$6,H91)</f>
        <v>9.226227958865053</v>
      </c>
      <c r="H91" s="16">
        <f t="shared" si="36"/>
        <v>651.1662577049088</v>
      </c>
      <c r="I91" s="16">
        <f>_XLL.ENTROPY('data T-s chart'!$A$1,"PT",J$6,J91)</f>
        <v>7.4798915503604</v>
      </c>
      <c r="J91" s="16">
        <f t="shared" si="37"/>
        <v>686.0878601270952</v>
      </c>
      <c r="K91" s="16">
        <f>_XLL.ENTROPY('data T-s chart'!$A$1,"PT",L$6,L91)</f>
        <v>6.616288306231562</v>
      </c>
      <c r="L91" s="16">
        <f aca="true" t="shared" si="48" ref="L91:L107">L90+(L$108-L$58)/50</f>
        <v>655.1416399999995</v>
      </c>
      <c r="M91" s="16">
        <f>_XLL.ENTROPY('data T-s chart'!$A$1,"PT",N$6,N91)</f>
        <v>5.861983566509641</v>
      </c>
      <c r="N91" s="16">
        <f t="shared" si="40"/>
        <v>664.0017000016992</v>
      </c>
      <c r="P91" s="16">
        <f>_XLL.ENTROPY('data T-s chart'!$A$1,"Tv",Q91,Q$6)</f>
        <v>8.258694844052577</v>
      </c>
      <c r="Q91" s="16">
        <f t="shared" si="41"/>
        <v>664.0017000016992</v>
      </c>
      <c r="R91" s="16">
        <f>_XLL.ENTROPY('data T-s chart'!$A$1,"Tv",S91,S$6)</f>
        <v>6.3007194947102345</v>
      </c>
      <c r="S91" s="16">
        <f t="shared" si="42"/>
        <v>664.0017000016992</v>
      </c>
      <c r="T91" s="16" t="str">
        <f>_XLL.ENTROPY('data T-s chart'!$A$1,"Tv",U91,U$6)</f>
        <v>Values of independents are not in range</v>
      </c>
      <c r="U91" s="16">
        <f t="shared" si="43"/>
        <v>664.0017000016992</v>
      </c>
      <c r="V91" s="16" t="str">
        <f>_XLL.ENTROPY('data T-s chart'!$A$1,"Tv",W91,W$6)</f>
        <v>Values of independents are not in range</v>
      </c>
      <c r="W91" s="16">
        <f t="shared" si="44"/>
        <v>664.0017000016992</v>
      </c>
      <c r="Y91" s="16">
        <f>_XLL.ENTROPY('data T-s chart'!$A$1,"Tq",Z91,Z$5)</f>
        <v>3.9209632063678455</v>
      </c>
      <c r="Z91" s="16">
        <f t="shared" si="45"/>
        <v>310.37688000169953</v>
      </c>
      <c r="AA91" s="16">
        <f>_XLL.ENTROPY('data T-s chart'!$A$1,"Tq",AB91,AB$5)</f>
        <v>4.487688256453775</v>
      </c>
      <c r="AB91" s="16">
        <f t="shared" si="46"/>
        <v>310.37688000169953</v>
      </c>
      <c r="AC91" s="16">
        <f>_XLL.ENTROPY('data T-s chart'!$A$1,"Tq",AD91,AD$5)</f>
        <v>5.054413306539704</v>
      </c>
      <c r="AD91" s="16">
        <f t="shared" si="47"/>
        <v>310.37688000169953</v>
      </c>
    </row>
    <row r="92" spans="1:30" ht="12.75">
      <c r="A92" s="16">
        <f>_XLL.ENTROPY('data T-s chart'!$A$1,"Tq",B92,0)</f>
        <v>3.391246629286925</v>
      </c>
      <c r="B92" s="16">
        <f t="shared" si="38"/>
        <v>314.16624000159953</v>
      </c>
      <c r="D92" s="16">
        <f>_XLL.ENTROPY('data T-s chart'!$A$1,"Tq",E92,1)</f>
        <v>5.588845841306209</v>
      </c>
      <c r="E92" s="16">
        <f t="shared" si="39"/>
        <v>314.16624000159953</v>
      </c>
      <c r="G92" s="16">
        <f>_XLL.ENTROPY('data T-s chart'!$A$1,"PT",H$6,H92)</f>
        <v>9.24736350833634</v>
      </c>
      <c r="H92" s="16">
        <f t="shared" si="36"/>
        <v>659.9211837222671</v>
      </c>
      <c r="I92" s="16">
        <f>_XLL.ENTROPY('data T-s chart'!$A$1,"PT",J$6,J92)</f>
        <v>7.496239752992945</v>
      </c>
      <c r="J92" s="16">
        <f t="shared" si="37"/>
        <v>692.7885742372661</v>
      </c>
      <c r="K92" s="16">
        <f>_XLL.ENTROPY('data T-s chart'!$A$1,"PT",L$6,L92)</f>
        <v>6.641148120980308</v>
      </c>
      <c r="L92" s="16">
        <f t="shared" si="48"/>
        <v>663.6627199999995</v>
      </c>
      <c r="M92" s="16">
        <f>_XLL.ENTROPY('data T-s chart'!$A$1,"PT",N$6,N92)</f>
        <v>5.89514948184016</v>
      </c>
      <c r="N92" s="16">
        <f t="shared" si="40"/>
        <v>672.0016000015992</v>
      </c>
      <c r="P92" s="16">
        <f>_XLL.ENTROPY('data T-s chart'!$A$1,"Tv",Q92,Q$6)</f>
        <v>8.27394259168922</v>
      </c>
      <c r="Q92" s="16">
        <f t="shared" si="41"/>
        <v>672.0016000015992</v>
      </c>
      <c r="R92" s="16">
        <f>_XLL.ENTROPY('data T-s chart'!$A$1,"Tv",S92,S$6)</f>
        <v>6.318265757745667</v>
      </c>
      <c r="S92" s="16">
        <f t="shared" si="42"/>
        <v>672.0016000015992</v>
      </c>
      <c r="T92" s="16" t="str">
        <f>_XLL.ENTROPY('data T-s chart'!$A$1,"Tv",U92,U$6)</f>
        <v>Values of independents are not in range</v>
      </c>
      <c r="U92" s="16">
        <f t="shared" si="43"/>
        <v>672.0016000015992</v>
      </c>
      <c r="V92" s="16" t="str">
        <f>_XLL.ENTROPY('data T-s chart'!$A$1,"Tv",W92,W$6)</f>
        <v>Values of independents are not in range</v>
      </c>
      <c r="W92" s="16">
        <f t="shared" si="44"/>
        <v>672.0016000015992</v>
      </c>
      <c r="Y92" s="16">
        <f>_XLL.ENTROPY('data T-s chart'!$A$1,"Tq",Z92,Z$5)</f>
        <v>3.9403860461306355</v>
      </c>
      <c r="Z92" s="16">
        <f t="shared" si="45"/>
        <v>314.1162400015995</v>
      </c>
      <c r="AA92" s="16">
        <f>_XLL.ENTROPY('data T-s chart'!$A$1,"Tq",AB92,AB$5)</f>
        <v>4.490016552293792</v>
      </c>
      <c r="AB92" s="16">
        <f t="shared" si="46"/>
        <v>314.1162400015995</v>
      </c>
      <c r="AC92" s="16">
        <f>_XLL.ENTROPY('data T-s chart'!$A$1,"Tq",AD92,AD$5)</f>
        <v>5.039647058456948</v>
      </c>
      <c r="AD92" s="16">
        <f t="shared" si="47"/>
        <v>314.1162400015995</v>
      </c>
    </row>
    <row r="93" spans="1:30" ht="12.75">
      <c r="A93" s="16">
        <f>_XLL.ENTROPY('data T-s chart'!$A$1,"Tq",B93,0)</f>
        <v>3.4282036093869532</v>
      </c>
      <c r="B93" s="16">
        <f t="shared" si="38"/>
        <v>317.9056000014995</v>
      </c>
      <c r="D93" s="16">
        <f>_XLL.ENTROPY('data T-s chart'!$A$1,"Tq",E93,1)</f>
        <v>5.556093574691618</v>
      </c>
      <c r="E93" s="16">
        <f t="shared" si="39"/>
        <v>317.9056000014995</v>
      </c>
      <c r="G93" s="16">
        <f>_XLL.ENTROPY('data T-s chart'!$A$1,"PT",H$6,H93)</f>
        <v>9.268359045427555</v>
      </c>
      <c r="H93" s="16">
        <f aca="true" t="shared" si="49" ref="H93:H107">H92+(H$108-H$28)/80</f>
        <v>668.6761097396253</v>
      </c>
      <c r="I93" s="16">
        <f>_XLL.ENTROPY('data T-s chart'!$A$1,"PT",J$6,J93)</f>
        <v>7.512492420786032</v>
      </c>
      <c r="J93" s="16">
        <f aca="true" t="shared" si="50" ref="J93:J107">J92+(J$108-J$28)/80</f>
        <v>699.489288347437</v>
      </c>
      <c r="K93" s="16">
        <f>_XLL.ENTROPY('data T-s chart'!$A$1,"PT",L$6,L93)</f>
        <v>6.665661806963589</v>
      </c>
      <c r="L93" s="16">
        <f t="shared" si="48"/>
        <v>672.1837999999995</v>
      </c>
      <c r="M93" s="16">
        <f>_XLL.ENTROPY('data T-s chart'!$A$1,"PT",N$6,N93)</f>
        <v>5.927443028859824</v>
      </c>
      <c r="N93" s="16">
        <f t="shared" si="40"/>
        <v>680.0015000014992</v>
      </c>
      <c r="P93" s="16">
        <f>_XLL.ENTROPY('data T-s chart'!$A$1,"Tv",Q93,Q$6)</f>
        <v>8.289108220740403</v>
      </c>
      <c r="Q93" s="16">
        <f t="shared" si="41"/>
        <v>680.0015000014992</v>
      </c>
      <c r="R93" s="16">
        <f>_XLL.ENTROPY('data T-s chart'!$A$1,"Tv",S93,S$6)</f>
        <v>6.335649709709099</v>
      </c>
      <c r="S93" s="16">
        <f t="shared" si="42"/>
        <v>680.0015000014992</v>
      </c>
      <c r="T93" s="16" t="str">
        <f>_XLL.ENTROPY('data T-s chart'!$A$1,"Tv",U93,U$6)</f>
        <v>Values of independents are not in range</v>
      </c>
      <c r="U93" s="16">
        <f t="shared" si="43"/>
        <v>680.0015000014992</v>
      </c>
      <c r="V93" s="16" t="str">
        <f>_XLL.ENTROPY('data T-s chart'!$A$1,"Tv",W93,W$6)</f>
        <v>Values of independents are not in range</v>
      </c>
      <c r="W93" s="16">
        <f t="shared" si="44"/>
        <v>680.0015000014992</v>
      </c>
      <c r="Y93" s="16">
        <f>_XLL.ENTROPY('data T-s chart'!$A$1,"Tq",Z93,Z$5)</f>
        <v>3.9599141964272153</v>
      </c>
      <c r="Z93" s="16">
        <f t="shared" si="45"/>
        <v>317.8556000014995</v>
      </c>
      <c r="AA93" s="16">
        <f>_XLL.ENTROPY('data T-s chart'!$A$1,"Tq",AB93,AB$5)</f>
        <v>4.492122076262481</v>
      </c>
      <c r="AB93" s="16">
        <f t="shared" si="46"/>
        <v>317.8556000014995</v>
      </c>
      <c r="AC93" s="16">
        <f>_XLL.ENTROPY('data T-s chart'!$A$1,"Tq",AD93,AD$5)</f>
        <v>5.0243299560977475</v>
      </c>
      <c r="AD93" s="16">
        <f t="shared" si="47"/>
        <v>317.8556000014995</v>
      </c>
    </row>
    <row r="94" spans="1:30" ht="12.75">
      <c r="A94" s="16">
        <f>_XLL.ENTROPY('data T-s chart'!$A$1,"Tq",B94,0)</f>
        <v>3.4656585898862753</v>
      </c>
      <c r="B94" s="16">
        <f t="shared" si="38"/>
        <v>321.6449600013995</v>
      </c>
      <c r="D94" s="16">
        <f>_XLL.ENTROPY('data T-s chart'!$A$1,"Tq",E94,1)</f>
        <v>5.522337507338309</v>
      </c>
      <c r="E94" s="16">
        <f t="shared" si="39"/>
        <v>321.6449600013995</v>
      </c>
      <c r="G94" s="16">
        <f>_XLL.ENTROPY('data T-s chart'!$A$1,"PT",H$6,H94)</f>
        <v>9.289217185013463</v>
      </c>
      <c r="H94" s="16">
        <f t="shared" si="49"/>
        <v>677.4310357569835</v>
      </c>
      <c r="I94" s="16">
        <f>_XLL.ENTROPY('data T-s chart'!$A$1,"PT",J$6,J94)</f>
        <v>7.528651360833823</v>
      </c>
      <c r="J94" s="16">
        <f t="shared" si="50"/>
        <v>706.1900024576079</v>
      </c>
      <c r="K94" s="16">
        <f>_XLL.ENTROPY('data T-s chart'!$A$1,"PT",L$6,L94)</f>
        <v>6.689845802926298</v>
      </c>
      <c r="L94" s="16">
        <f t="shared" si="48"/>
        <v>680.7048799999994</v>
      </c>
      <c r="M94" s="16">
        <f>_XLL.ENTROPY('data T-s chart'!$A$1,"PT",N$6,N94)</f>
        <v>5.958920355489754</v>
      </c>
      <c r="N94" s="16">
        <f t="shared" si="40"/>
        <v>688.0014000013991</v>
      </c>
      <c r="P94" s="16">
        <f>_XLL.ENTROPY('data T-s chart'!$A$1,"Tv",Q94,Q$6)</f>
        <v>8.304193133977252</v>
      </c>
      <c r="Q94" s="16">
        <f t="shared" si="41"/>
        <v>688.0014000013991</v>
      </c>
      <c r="R94" s="16">
        <f>_XLL.ENTROPY('data T-s chart'!$A$1,"Tv",S94,S$6)</f>
        <v>6.352876249056195</v>
      </c>
      <c r="S94" s="16">
        <f t="shared" si="42"/>
        <v>688.0014000013991</v>
      </c>
      <c r="T94" s="16" t="str">
        <f>_XLL.ENTROPY('data T-s chart'!$A$1,"Tv",U94,U$6)</f>
        <v>Values of independents are not in range</v>
      </c>
      <c r="U94" s="16">
        <f t="shared" si="43"/>
        <v>688.0014000013991</v>
      </c>
      <c r="V94" s="16" t="str">
        <f>_XLL.ENTROPY('data T-s chart'!$A$1,"Tv",W94,W$6)</f>
        <v>Values of independents are not in range</v>
      </c>
      <c r="W94" s="16">
        <f t="shared" si="44"/>
        <v>688.0014000013991</v>
      </c>
      <c r="Y94" s="16">
        <f>_XLL.ENTROPY('data T-s chart'!$A$1,"Tq",Z94,Z$5)</f>
        <v>3.9795646528630737</v>
      </c>
      <c r="Z94" s="16">
        <f t="shared" si="45"/>
        <v>321.5949600013995</v>
      </c>
      <c r="AA94" s="16">
        <f>_XLL.ENTROPY('data T-s chart'!$A$1,"Tq",AB94,AB$5)</f>
        <v>4.49397513717695</v>
      </c>
      <c r="AB94" s="16">
        <f t="shared" si="46"/>
        <v>321.5949600013995</v>
      </c>
      <c r="AC94" s="16">
        <f>_XLL.ENTROPY('data T-s chart'!$A$1,"Tq",AD94,AD$5)</f>
        <v>5.008385621490825</v>
      </c>
      <c r="AD94" s="16">
        <f t="shared" si="47"/>
        <v>321.5949600013995</v>
      </c>
    </row>
    <row r="95" spans="1:30" ht="12.75">
      <c r="A95" s="16">
        <f>_XLL.ENTROPY('data T-s chart'!$A$1,"Tq",B95,0)</f>
        <v>3.5036874932593367</v>
      </c>
      <c r="B95" s="16">
        <f t="shared" si="38"/>
        <v>325.3843200012995</v>
      </c>
      <c r="D95" s="16">
        <f>_XLL.ENTROPY('data T-s chart'!$A$1,"Tq",E95,1)</f>
        <v>5.487429395828291</v>
      </c>
      <c r="E95" s="16">
        <f t="shared" si="39"/>
        <v>325.3843200012995</v>
      </c>
      <c r="G95" s="16">
        <f>_XLL.ENTROPY('data T-s chart'!$A$1,"PT",H$6,H95)</f>
        <v>9.309940462182299</v>
      </c>
      <c r="H95" s="16">
        <f t="shared" si="49"/>
        <v>686.1859617743418</v>
      </c>
      <c r="I95" s="16">
        <f>_XLL.ENTROPY('data T-s chart'!$A$1,"PT",J$6,J95)</f>
        <v>7.544718320764807</v>
      </c>
      <c r="J95" s="16">
        <f t="shared" si="50"/>
        <v>712.8907165677788</v>
      </c>
      <c r="K95" s="16">
        <f>_XLL.ENTROPY('data T-s chart'!$A$1,"PT",L$6,L95)</f>
        <v>6.713715269664716</v>
      </c>
      <c r="L95" s="16">
        <f t="shared" si="48"/>
        <v>689.2259599999994</v>
      </c>
      <c r="M95" s="16">
        <f>_XLL.ENTROPY('data T-s chart'!$A$1,"PT",N$6,N95)</f>
        <v>5.989632975088938</v>
      </c>
      <c r="N95" s="16">
        <f t="shared" si="40"/>
        <v>696.0013000012991</v>
      </c>
      <c r="P95" s="16">
        <f>_XLL.ENTROPY('data T-s chart'!$A$1,"Tv",Q95,Q$6)</f>
        <v>8.319198690724221</v>
      </c>
      <c r="Q95" s="16">
        <f t="shared" si="41"/>
        <v>696.0013000012991</v>
      </c>
      <c r="R95" s="16">
        <f>_XLL.ENTROPY('data T-s chart'!$A$1,"Tv",S95,S$6)</f>
        <v>6.369950029199054</v>
      </c>
      <c r="S95" s="16">
        <f t="shared" si="42"/>
        <v>696.0013000012991</v>
      </c>
      <c r="T95" s="16" t="str">
        <f>_XLL.ENTROPY('data T-s chart'!$A$1,"Tv",U95,U$6)</f>
        <v>Values of independents are not in range</v>
      </c>
      <c r="U95" s="16">
        <f t="shared" si="43"/>
        <v>696.0013000012991</v>
      </c>
      <c r="V95" s="16" t="str">
        <f>_XLL.ENTROPY('data T-s chart'!$A$1,"Tv",W95,W$6)</f>
        <v>Values of independents are not in range</v>
      </c>
      <c r="W95" s="16">
        <f t="shared" si="44"/>
        <v>696.0013000012991</v>
      </c>
      <c r="Y95" s="16">
        <f>_XLL.ENTROPY('data T-s chart'!$A$1,"Tq",Z95,Z$5)</f>
        <v>3.999357249956555</v>
      </c>
      <c r="Z95" s="16">
        <f t="shared" si="45"/>
        <v>325.3343200012995</v>
      </c>
      <c r="AA95" s="16">
        <f>_XLL.ENTROPY('data T-s chart'!$A$1,"Tq",AB95,AB$5)</f>
        <v>4.4955396691580916</v>
      </c>
      <c r="AB95" s="16">
        <f t="shared" si="46"/>
        <v>325.3343200012995</v>
      </c>
      <c r="AC95" s="16">
        <f>_XLL.ENTROPY('data T-s chart'!$A$1,"Tq",AD95,AD$5)</f>
        <v>4.991722088359628</v>
      </c>
      <c r="AD95" s="16">
        <f t="shared" si="47"/>
        <v>325.3343200012995</v>
      </c>
    </row>
    <row r="96" spans="1:30" ht="12.75">
      <c r="A96" s="16">
        <f>_XLL.ENTROPY('data T-s chart'!$A$1,"Tq",B96,0)</f>
        <v>3.542382830024765</v>
      </c>
      <c r="B96" s="16">
        <f t="shared" si="38"/>
        <v>329.1236800011995</v>
      </c>
      <c r="D96" s="16">
        <f>_XLL.ENTROPY('data T-s chart'!$A$1,"Tq",E96,1)</f>
        <v>5.451188919313333</v>
      </c>
      <c r="E96" s="16">
        <f t="shared" si="39"/>
        <v>329.1236800011995</v>
      </c>
      <c r="G96" s="16">
        <f>_XLL.ENTROPY('data T-s chart'!$A$1,"PT",H$6,H96)</f>
        <v>9.330531335948777</v>
      </c>
      <c r="H96" s="16">
        <f t="shared" si="49"/>
        <v>694.9408877917</v>
      </c>
      <c r="I96" s="16">
        <f>_XLL.ENTROPY('data T-s chart'!$A$1,"PT",J$6,J96)</f>
        <v>7.560694991814525</v>
      </c>
      <c r="J96" s="16">
        <f t="shared" si="50"/>
        <v>719.5914306779497</v>
      </c>
      <c r="K96" s="16">
        <f>_XLL.ENTROPY('data T-s chart'!$A$1,"PT",L$6,L96)</f>
        <v>6.737284225996639</v>
      </c>
      <c r="L96" s="16">
        <f t="shared" si="48"/>
        <v>697.7470399999994</v>
      </c>
      <c r="M96" s="16">
        <f>_XLL.ENTROPY('data T-s chart'!$A$1,"PT",N$6,N96)</f>
        <v>6.019628404805093</v>
      </c>
      <c r="N96" s="16">
        <f t="shared" si="40"/>
        <v>704.0012000011991</v>
      </c>
      <c r="P96" s="16">
        <f>_XLL.ENTROPY('data T-s chart'!$A$1,"Tv",Q96,Q$6)</f>
        <v>8.334126212114457</v>
      </c>
      <c r="Q96" s="16">
        <f t="shared" si="41"/>
        <v>704.0012000011991</v>
      </c>
      <c r="R96" s="16">
        <f>_XLL.ENTROPY('data T-s chart'!$A$1,"Tv",S96,S$6)</f>
        <v>6.38687549190687</v>
      </c>
      <c r="S96" s="16">
        <f t="shared" si="42"/>
        <v>704.0012000011991</v>
      </c>
      <c r="T96" s="16" t="str">
        <f>_XLL.ENTROPY('data T-s chart'!$A$1,"Tv",U96,U$6)</f>
        <v>Values of independents are not in range</v>
      </c>
      <c r="U96" s="16">
        <f t="shared" si="43"/>
        <v>704.0012000011991</v>
      </c>
      <c r="V96" s="16" t="str">
        <f>_XLL.ENTROPY('data T-s chart'!$A$1,"Tv",W96,W$6)</f>
        <v>Values of independents are not in range</v>
      </c>
      <c r="W96" s="16">
        <f t="shared" si="44"/>
        <v>704.0012000011991</v>
      </c>
      <c r="Y96" s="16">
        <f>_XLL.ENTROPY('data T-s chart'!$A$1,"Tq",Z96,Z$5)</f>
        <v>4.019316216489148</v>
      </c>
      <c r="Z96" s="16">
        <f t="shared" si="45"/>
        <v>329.0736800011995</v>
      </c>
      <c r="AA96" s="16">
        <f>_XLL.ENTROPY('data T-s chart'!$A$1,"Tq",AB96,AB$5)</f>
        <v>4.4967718788577296</v>
      </c>
      <c r="AB96" s="16">
        <f t="shared" si="46"/>
        <v>329.0736800011995</v>
      </c>
      <c r="AC96" s="16">
        <f>_XLL.ENTROPY('data T-s chart'!$A$1,"Tq",AD96,AD$5)</f>
        <v>4.974227541226311</v>
      </c>
      <c r="AD96" s="16">
        <f t="shared" si="47"/>
        <v>329.0736800011995</v>
      </c>
    </row>
    <row r="97" spans="1:30" ht="12.75">
      <c r="A97" s="16">
        <f>_XLL.ENTROPY('data T-s chart'!$A$1,"Tq",B97,0)</f>
        <v>3.5818602269305155</v>
      </c>
      <c r="B97" s="16">
        <f t="shared" si="38"/>
        <v>332.8630400010995</v>
      </c>
      <c r="D97" s="16">
        <f>_XLL.ENTROPY('data T-s chart'!$A$1,"Tq",E97,1)</f>
        <v>5.413394891018857</v>
      </c>
      <c r="E97" s="16">
        <f t="shared" si="39"/>
        <v>332.8630400010995</v>
      </c>
      <c r="G97" s="16">
        <f>_XLL.ENTROPY('data T-s chart'!$A$1,"PT",H$6,H97)</f>
        <v>9.350992192867283</v>
      </c>
      <c r="H97" s="16">
        <f t="shared" si="49"/>
        <v>703.6958138090582</v>
      </c>
      <c r="I97" s="16">
        <f>_XLL.ENTROPY('data T-s chart'!$A$1,"PT",J$6,J97)</f>
        <v>7.576583011718516</v>
      </c>
      <c r="J97" s="16">
        <f t="shared" si="50"/>
        <v>726.2921447881206</v>
      </c>
      <c r="K97" s="16">
        <f>_XLL.ENTROPY('data T-s chart'!$A$1,"PT",L$6,L97)</f>
        <v>6.7605656674203125</v>
      </c>
      <c r="L97" s="16">
        <f t="shared" si="48"/>
        <v>706.2681199999994</v>
      </c>
      <c r="M97" s="16">
        <f>_XLL.ENTROPY('data T-s chart'!$A$1,"PT",N$6,N97)</f>
        <v>6.048950626541583</v>
      </c>
      <c r="N97" s="16">
        <f t="shared" si="40"/>
        <v>712.0011000010991</v>
      </c>
      <c r="P97" s="16">
        <f>_XLL.ENTROPY('data T-s chart'!$A$1,"Tv",Q97,Q$6)</f>
        <v>8.348976982989393</v>
      </c>
      <c r="Q97" s="16">
        <f t="shared" si="41"/>
        <v>712.0011000010991</v>
      </c>
      <c r="R97" s="16">
        <f>_XLL.ENTROPY('data T-s chart'!$A$1,"Tv",S97,S$6)</f>
        <v>6.403656896173006</v>
      </c>
      <c r="S97" s="16">
        <f t="shared" si="42"/>
        <v>712.0011000010991</v>
      </c>
      <c r="T97" s="16" t="str">
        <f>_XLL.ENTROPY('data T-s chart'!$A$1,"Tv",U97,U$6)</f>
        <v>Values of independents are not in range</v>
      </c>
      <c r="U97" s="16">
        <f t="shared" si="43"/>
        <v>712.0011000010991</v>
      </c>
      <c r="V97" s="16" t="str">
        <f>_XLL.ENTROPY('data T-s chart'!$A$1,"Tv",W97,W$6)</f>
        <v>Values of independents are not in range</v>
      </c>
      <c r="W97" s="16">
        <f t="shared" si="44"/>
        <v>712.0011000010991</v>
      </c>
      <c r="Y97" s="16">
        <f>_XLL.ENTROPY('data T-s chart'!$A$1,"Tq",Z97,Z$5)</f>
        <v>4.0394728563349585</v>
      </c>
      <c r="Z97" s="16">
        <f t="shared" si="45"/>
        <v>332.81304000109947</v>
      </c>
      <c r="AA97" s="16">
        <f>_XLL.ENTROPY('data T-s chart'!$A$1,"Tq",AB97,AB$5)</f>
        <v>4.497619110462837</v>
      </c>
      <c r="AB97" s="16">
        <f t="shared" si="46"/>
        <v>332.81304000109947</v>
      </c>
      <c r="AC97" s="16">
        <f>_XLL.ENTROPY('data T-s chart'!$A$1,"Tq",AD97,AD$5)</f>
        <v>4.955765364590716</v>
      </c>
      <c r="AD97" s="16">
        <f t="shared" si="47"/>
        <v>332.81304000109947</v>
      </c>
    </row>
    <row r="98" spans="1:30" ht="12.75">
      <c r="A98" s="16">
        <f>_XLL.ENTROPY('data T-s chart'!$A$1,"Tq",B98,0)</f>
        <v>3.6222676433279717</v>
      </c>
      <c r="B98" s="16">
        <f t="shared" si="38"/>
        <v>336.60240000099947</v>
      </c>
      <c r="D98" s="16">
        <f>_XLL.ENTROPY('data T-s chart'!$A$1,"Tq",E98,1)</f>
        <v>5.373774821100642</v>
      </c>
      <c r="E98" s="16">
        <f t="shared" si="39"/>
        <v>336.60240000099947</v>
      </c>
      <c r="G98" s="16">
        <f>_XLL.ENTROPY('data T-s chart'!$A$1,"PT",H$6,H98)</f>
        <v>9.37132535055229</v>
      </c>
      <c r="H98" s="16">
        <f t="shared" si="49"/>
        <v>712.4507398264165</v>
      </c>
      <c r="I98" s="16">
        <f>_XLL.ENTROPY('data T-s chart'!$A$1,"PT",J$6,J98)</f>
        <v>7.592383967441356</v>
      </c>
      <c r="J98" s="16">
        <f t="shared" si="50"/>
        <v>732.9928588982915</v>
      </c>
      <c r="K98" s="16">
        <f>_XLL.ENTROPY('data T-s chart'!$A$1,"PT",L$6,L98)</f>
        <v>6.783571669991259</v>
      </c>
      <c r="L98" s="16">
        <f t="shared" si="48"/>
        <v>714.7891999999994</v>
      </c>
      <c r="M98" s="16">
        <f>_XLL.ENTROPY('data T-s chart'!$A$1,"PT",N$6,N98)</f>
        <v>6.077640420906677</v>
      </c>
      <c r="N98" s="16">
        <f t="shared" si="40"/>
        <v>720.001000000999</v>
      </c>
      <c r="P98" s="16">
        <f>_XLL.ENTROPY('data T-s chart'!$A$1,"Tv",Q98,Q$6)</f>
        <v>8.363752253756322</v>
      </c>
      <c r="Q98" s="16">
        <f t="shared" si="41"/>
        <v>720.001000000999</v>
      </c>
      <c r="R98" s="16">
        <f>_XLL.ENTROPY('data T-s chart'!$A$1,"Tv",S98,S$6)</f>
        <v>6.420298343170721</v>
      </c>
      <c r="S98" s="16">
        <f t="shared" si="42"/>
        <v>720.001000000999</v>
      </c>
      <c r="T98" s="16" t="str">
        <f>_XLL.ENTROPY('data T-s chart'!$A$1,"Tv",U98,U$6)</f>
        <v>Values of independents are not in range</v>
      </c>
      <c r="U98" s="16">
        <f t="shared" si="43"/>
        <v>720.001000000999</v>
      </c>
      <c r="V98" s="16" t="str">
        <f>_XLL.ENTROPY('data T-s chart'!$A$1,"Tv",W98,W$6)</f>
        <v>Values of independents are not in range</v>
      </c>
      <c r="W98" s="16">
        <f t="shared" si="44"/>
        <v>720.001000000999</v>
      </c>
      <c r="Y98" s="16">
        <f>_XLL.ENTROPY('data T-s chart'!$A$1,"Tq",Z98,Z$5)</f>
        <v>4.059869826903048</v>
      </c>
      <c r="Z98" s="16">
        <f t="shared" si="45"/>
        <v>336.55240000099946</v>
      </c>
      <c r="AA98" s="16">
        <f>_XLL.ENTROPY('data T-s chart'!$A$1,"Tq",AB98,AB$5)</f>
        <v>4.4980192263153</v>
      </c>
      <c r="AB98" s="16">
        <f t="shared" si="46"/>
        <v>336.55240000099946</v>
      </c>
      <c r="AC98" s="16">
        <f>_XLL.ENTROPY('data T-s chart'!$A$1,"Tq",AD98,AD$5)</f>
        <v>4.936168625727552</v>
      </c>
      <c r="AD98" s="16">
        <f t="shared" si="47"/>
        <v>336.55240000099946</v>
      </c>
    </row>
    <row r="99" spans="1:30" ht="12.75">
      <c r="A99" s="16">
        <f>_XLL.ENTROPY('data T-s chart'!$A$1,"Tq",B99,0)</f>
        <v>3.663797848034516</v>
      </c>
      <c r="B99" s="16">
        <f t="shared" si="38"/>
        <v>340.34176000089946</v>
      </c>
      <c r="D99" s="16">
        <f>_XLL.ENTROPY('data T-s chart'!$A$1,"Tq",E99,1)</f>
        <v>5.33199282886324</v>
      </c>
      <c r="E99" s="16">
        <f t="shared" si="39"/>
        <v>340.34176000089946</v>
      </c>
      <c r="G99" s="16">
        <f>_XLL.ENTROPY('data T-s chart'!$A$1,"PT",H$6,H99)</f>
        <v>9.391533061112591</v>
      </c>
      <c r="H99" s="16">
        <f t="shared" si="49"/>
        <v>721.2056658437747</v>
      </c>
      <c r="I99" s="16">
        <f>_XLL.ENTROPY('data T-s chart'!$A$1,"PT",J$6,J99)</f>
        <v>7.608099397755909</v>
      </c>
      <c r="J99" s="16">
        <f t="shared" si="50"/>
        <v>739.6935730084624</v>
      </c>
      <c r="K99" s="16">
        <f>_XLL.ENTROPY('data T-s chart'!$A$1,"PT",L$6,L99)</f>
        <v>6.806313481527886</v>
      </c>
      <c r="L99" s="16">
        <f t="shared" si="48"/>
        <v>723.3102799999994</v>
      </c>
      <c r="M99" s="16">
        <f>_XLL.ENTROPY('data T-s chart'!$A$1,"PT",N$6,N99)</f>
        <v>6.105735617572861</v>
      </c>
      <c r="N99" s="16">
        <f t="shared" si="40"/>
        <v>728.000900000899</v>
      </c>
      <c r="P99" s="16">
        <f>_XLL.ENTROPY('data T-s chart'!$A$1,"Tv",Q99,Q$6)</f>
        <v>8.37845324220753</v>
      </c>
      <c r="Q99" s="16">
        <f t="shared" si="41"/>
        <v>728.000900000899</v>
      </c>
      <c r="R99" s="16">
        <f>_XLL.ENTROPY('data T-s chart'!$A$1,"Tv",S99,S$6)</f>
        <v>6.436803797921183</v>
      </c>
      <c r="S99" s="16">
        <f t="shared" si="42"/>
        <v>728.000900000899</v>
      </c>
      <c r="T99" s="16" t="str">
        <f>_XLL.ENTROPY('data T-s chart'!$A$1,"Tv",U99,U$6)</f>
        <v>Values of independents are not in range</v>
      </c>
      <c r="U99" s="16">
        <f t="shared" si="43"/>
        <v>728.000900000899</v>
      </c>
      <c r="V99" s="16" t="str">
        <f>_XLL.ENTROPY('data T-s chart'!$A$1,"Tv",W99,W$6)</f>
        <v>Values of independents are not in range</v>
      </c>
      <c r="W99" s="16">
        <f t="shared" si="44"/>
        <v>728.000900000899</v>
      </c>
      <c r="Y99" s="16">
        <f>_XLL.ENTROPY('data T-s chart'!$A$1,"Tq",Z99,Z$5)</f>
        <v>4.080567445630467</v>
      </c>
      <c r="Z99" s="16">
        <f t="shared" si="45"/>
        <v>340.29176000089944</v>
      </c>
      <c r="AA99" s="16">
        <f>_XLL.ENTROPY('data T-s chart'!$A$1,"Tq",AB99,AB$5)</f>
        <v>4.497900789329761</v>
      </c>
      <c r="AB99" s="16">
        <f t="shared" si="46"/>
        <v>340.29176000089944</v>
      </c>
      <c r="AC99" s="16">
        <f>_XLL.ENTROPY('data T-s chart'!$A$1,"Tq",AD99,AD$5)</f>
        <v>4.915234133029055</v>
      </c>
      <c r="AD99" s="16">
        <f t="shared" si="47"/>
        <v>340.29176000089944</v>
      </c>
    </row>
    <row r="100" spans="1:30" ht="12.75">
      <c r="A100" s="16">
        <f>_XLL.ENTROPY('data T-s chart'!$A$1,"Tq",B100,0)</f>
        <v>3.7067043917774685</v>
      </c>
      <c r="B100" s="16">
        <f t="shared" si="38"/>
        <v>344.08112000079944</v>
      </c>
      <c r="D100" s="16">
        <f>_XLL.ENTROPY('data T-s chart'!$A$1,"Tq",E100,1)</f>
        <v>5.28763588292081</v>
      </c>
      <c r="E100" s="16">
        <f t="shared" si="39"/>
        <v>344.08112000079944</v>
      </c>
      <c r="G100" s="16">
        <f>_XLL.ENTROPY('data T-s chart'!$A$1,"PT",H$6,H100)</f>
        <v>9.411617514505233</v>
      </c>
      <c r="H100" s="16">
        <f t="shared" si="49"/>
        <v>729.9605918611329</v>
      </c>
      <c r="I100" s="16">
        <f>_XLL.ENTROPY('data T-s chart'!$A$1,"PT",J$6,J100)</f>
        <v>7.623730795685624</v>
      </c>
      <c r="J100" s="16">
        <f t="shared" si="50"/>
        <v>746.3942871186333</v>
      </c>
      <c r="K100" s="16">
        <f>_XLL.ENTROPY('data T-s chart'!$A$1,"PT",L$6,L100)</f>
        <v>6.828801601917511</v>
      </c>
      <c r="L100" s="16">
        <f t="shared" si="48"/>
        <v>731.8313599999993</v>
      </c>
      <c r="M100" s="16">
        <f>_XLL.ENTROPY('data T-s chart'!$A$1,"PT",N$6,N100)</f>
        <v>6.133271295791881</v>
      </c>
      <c r="N100" s="16">
        <f t="shared" si="40"/>
        <v>736.000800000799</v>
      </c>
      <c r="P100" s="16">
        <f>_XLL.ENTROPY('data T-s chart'!$A$1,"Tv",Q100,Q$6)</f>
        <v>8.393081135303989</v>
      </c>
      <c r="Q100" s="16">
        <f t="shared" si="41"/>
        <v>736.000800000799</v>
      </c>
      <c r="R100" s="16">
        <f>_XLL.ENTROPY('data T-s chart'!$A$1,"Tv",S100,S$6)</f>
        <v>6.4531771082729215</v>
      </c>
      <c r="S100" s="16">
        <f t="shared" si="42"/>
        <v>736.000800000799</v>
      </c>
      <c r="T100" s="16" t="str">
        <f>_XLL.ENTROPY('data T-s chart'!$A$1,"Tv",U100,U$6)</f>
        <v>Values of independents are not in range</v>
      </c>
      <c r="U100" s="16">
        <f t="shared" si="43"/>
        <v>736.000800000799</v>
      </c>
      <c r="V100" s="16" t="str">
        <f>_XLL.ENTROPY('data T-s chart'!$A$1,"Tv",W100,W$6)</f>
        <v>Values of independents are not in range</v>
      </c>
      <c r="W100" s="16">
        <f t="shared" si="44"/>
        <v>736.000800000799</v>
      </c>
      <c r="Y100" s="16">
        <f>_XLL.ENTROPY('data T-s chart'!$A$1,"Tq",Z100,Z$5)</f>
        <v>4.101652200959026</v>
      </c>
      <c r="Z100" s="16">
        <f t="shared" si="45"/>
        <v>344.03112000079943</v>
      </c>
      <c r="AA100" s="16">
        <f>_XLL.ENTROPY('data T-s chart'!$A$1,"Tq",AB100,AB$5)</f>
        <v>4.4971841580318825</v>
      </c>
      <c r="AB100" s="16">
        <f t="shared" si="46"/>
        <v>344.03112000079943</v>
      </c>
      <c r="AC100" s="16">
        <f>_XLL.ENTROPY('data T-s chart'!$A$1,"Tq",AD100,AD$5)</f>
        <v>4.892716115104739</v>
      </c>
      <c r="AD100" s="16">
        <f t="shared" si="47"/>
        <v>344.03112000079943</v>
      </c>
    </row>
    <row r="101" spans="1:30" ht="12.75">
      <c r="A101" s="16">
        <f>_XLL.ENTROPY('data T-s chart'!$A$1,"Tq",B101,0)</f>
        <v>3.751320536459474</v>
      </c>
      <c r="B101" s="16">
        <f t="shared" si="38"/>
        <v>347.82048000069943</v>
      </c>
      <c r="D101" s="16">
        <f>_XLL.ENTROPY('data T-s chart'!$A$1,"Tq",E101,1)</f>
        <v>5.2401981764241</v>
      </c>
      <c r="E101" s="16">
        <f t="shared" si="39"/>
        <v>347.82048000069943</v>
      </c>
      <c r="G101" s="16">
        <f>_XLL.ENTROPY('data T-s chart'!$A$1,"PT",H$6,H101)</f>
        <v>9.431580841814798</v>
      </c>
      <c r="H101" s="16">
        <f t="shared" si="49"/>
        <v>738.7155178784911</v>
      </c>
      <c r="I101" s="16">
        <f>_XLL.ENTROPY('data T-s chart'!$A$1,"PT",J$6,J101)</f>
        <v>7.639279610821331</v>
      </c>
      <c r="J101" s="16">
        <f t="shared" si="50"/>
        <v>753.0950012288042</v>
      </c>
      <c r="K101" s="16">
        <f>_XLL.ENTROPY('data T-s chart'!$A$1,"PT",L$6,L101)</f>
        <v>6.851045854017416</v>
      </c>
      <c r="L101" s="16">
        <f t="shared" si="48"/>
        <v>740.3524399999993</v>
      </c>
      <c r="M101" s="16">
        <f>_XLL.ENTROPY('data T-s chart'!$A$1,"PT",N$6,N101)</f>
        <v>6.160279958948724</v>
      </c>
      <c r="N101" s="16">
        <f t="shared" si="40"/>
        <v>744.000700000699</v>
      </c>
      <c r="P101" s="16">
        <f>_XLL.ENTROPY('data T-s chart'!$A$1,"Tv",Q101,Q$6)</f>
        <v>8.407637090926496</v>
      </c>
      <c r="Q101" s="16">
        <f t="shared" si="41"/>
        <v>744.000700000699</v>
      </c>
      <c r="R101" s="16">
        <f>_XLL.ENTROPY('data T-s chart'!$A$1,"Tv",S101,S$6)</f>
        <v>6.469422021748758</v>
      </c>
      <c r="S101" s="16">
        <f t="shared" si="42"/>
        <v>744.000700000699</v>
      </c>
      <c r="T101" s="16" t="str">
        <f>_XLL.ENTROPY('data T-s chart'!$A$1,"Tv",U101,U$6)</f>
        <v>Values of independents are not in range</v>
      </c>
      <c r="U101" s="16">
        <f t="shared" si="43"/>
        <v>744.000700000699</v>
      </c>
      <c r="V101" s="16" t="str">
        <f>_XLL.ENTROPY('data T-s chart'!$A$1,"Tv",W101,W$6)</f>
        <v>Values of independents are not in range</v>
      </c>
      <c r="W101" s="16">
        <f t="shared" si="44"/>
        <v>744.000700000699</v>
      </c>
      <c r="Y101" s="16">
        <f>_XLL.ENTROPY('data T-s chart'!$A$1,"Tq",Z101,Z$5)</f>
        <v>4.1232470270658155</v>
      </c>
      <c r="Z101" s="16">
        <f t="shared" si="45"/>
        <v>347.7704800006994</v>
      </c>
      <c r="AA101" s="16">
        <f>_XLL.ENTROPY('data T-s chart'!$A$1,"Tq",AB101,AB$5)</f>
        <v>4.495783137388898</v>
      </c>
      <c r="AB101" s="16">
        <f t="shared" si="46"/>
        <v>347.7704800006994</v>
      </c>
      <c r="AC101" s="16">
        <f>_XLL.ENTROPY('data T-s chart'!$A$1,"Tq",AD101,AD$5)</f>
        <v>4.868319247711979</v>
      </c>
      <c r="AD101" s="16">
        <f t="shared" si="47"/>
        <v>347.7704800006994</v>
      </c>
    </row>
    <row r="102" spans="1:30" ht="12.75">
      <c r="A102" s="16">
        <f>_XLL.ENTROPY('data T-s chart'!$A$1,"Tq",B102,0)</f>
        <v>3.798166178510552</v>
      </c>
      <c r="B102" s="16">
        <f t="shared" si="38"/>
        <v>351.5598400005994</v>
      </c>
      <c r="D102" s="16">
        <f>_XLL.ENTROPY('data T-s chart'!$A$1,"Tq",E102,1)</f>
        <v>5.189076734169946</v>
      </c>
      <c r="E102" s="16">
        <f t="shared" si="39"/>
        <v>351.5598400005994</v>
      </c>
      <c r="G102" s="16">
        <f>_XLL.ENTROPY('data T-s chart'!$A$1,"PT",H$6,H102)</f>
        <v>9.451425118462957</v>
      </c>
      <c r="H102" s="16">
        <f t="shared" si="49"/>
        <v>747.4704438958494</v>
      </c>
      <c r="I102" s="16">
        <f>_XLL.ENTROPY('data T-s chart'!$A$1,"PT",J$6,J102)</f>
        <v>7.654747251522883</v>
      </c>
      <c r="J102" s="16">
        <f t="shared" si="50"/>
        <v>759.7957153389751</v>
      </c>
      <c r="K102" s="16">
        <f>_XLL.ENTROPY('data T-s chart'!$A$1,"PT",L$6,L102)</f>
        <v>6.873055446417991</v>
      </c>
      <c r="L102" s="16">
        <f t="shared" si="48"/>
        <v>748.8735199999993</v>
      </c>
      <c r="M102" s="16">
        <f>_XLL.ENTROPY('data T-s chart'!$A$1,"PT",N$6,N102)</f>
        <v>6.186791698392407</v>
      </c>
      <c r="N102" s="16">
        <f t="shared" si="40"/>
        <v>752.000600000599</v>
      </c>
      <c r="P102" s="16">
        <f>_XLL.ENTROPY('data T-s chart'!$A$1,"Tv",Q102,Q$6)</f>
        <v>8.422122239596757</v>
      </c>
      <c r="Q102" s="16">
        <f t="shared" si="41"/>
        <v>752.000600000599</v>
      </c>
      <c r="R102" s="16">
        <f>_XLL.ENTROPY('data T-s chart'!$A$1,"Tv",S102,S$6)</f>
        <v>6.485542200760534</v>
      </c>
      <c r="S102" s="16">
        <f t="shared" si="42"/>
        <v>752.000600000599</v>
      </c>
      <c r="T102" s="16" t="str">
        <f>_XLL.ENTROPY('data T-s chart'!$A$1,"Tv",U102,U$6)</f>
        <v>Values of independents are not in range</v>
      </c>
      <c r="U102" s="16">
        <f t="shared" si="43"/>
        <v>752.000600000599</v>
      </c>
      <c r="V102" s="16" t="str">
        <f>_XLL.ENTROPY('data T-s chart'!$A$1,"Tv",W102,W$6)</f>
        <v>Values of independents are not in range</v>
      </c>
      <c r="W102" s="16">
        <f t="shared" si="44"/>
        <v>752.000600000599</v>
      </c>
      <c r="Y102" s="16">
        <f>_XLL.ENTROPY('data T-s chart'!$A$1,"Tq",Z102,Z$5)</f>
        <v>4.145589607376736</v>
      </c>
      <c r="Z102" s="16">
        <f t="shared" si="45"/>
        <v>351.5098400005994</v>
      </c>
      <c r="AA102" s="16">
        <f>_XLL.ENTROPY('data T-s chart'!$A$1,"Tq",AB102,AB$5)</f>
        <v>4.493656621219722</v>
      </c>
      <c r="AB102" s="16">
        <f t="shared" si="46"/>
        <v>351.5098400005994</v>
      </c>
      <c r="AC102" s="16">
        <f>_XLL.ENTROPY('data T-s chart'!$A$1,"Tq",AD102,AD$5)</f>
        <v>4.841723635062708</v>
      </c>
      <c r="AD102" s="16">
        <f t="shared" si="47"/>
        <v>351.5098400005994</v>
      </c>
    </row>
    <row r="103" spans="1:30" ht="12.75">
      <c r="A103" s="16">
        <f>_XLL.ENTROPY('data T-s chart'!$A$1,"Tq",B103,0)</f>
        <v>3.8479220869475053</v>
      </c>
      <c r="B103" s="16">
        <f t="shared" si="38"/>
        <v>355.2992000004994</v>
      </c>
      <c r="D103" s="16">
        <f>_XLL.ENTROPY('data T-s chart'!$A$1,"Tq",E103,1)</f>
        <v>5.132969456501076</v>
      </c>
      <c r="E103" s="16">
        <f t="shared" si="39"/>
        <v>355.2992000004994</v>
      </c>
      <c r="G103" s="16">
        <f>_XLL.ENTROPY('data T-s chart'!$A$1,"PT",H$6,H103)</f>
        <v>9.47115236735314</v>
      </c>
      <c r="H103" s="16">
        <f t="shared" si="49"/>
        <v>756.2253699132076</v>
      </c>
      <c r="I103" s="16">
        <f>_XLL.ENTROPY('data T-s chart'!$A$1,"PT",J$6,J103)</f>
        <v>7.670135087015029</v>
      </c>
      <c r="J103" s="16">
        <f t="shared" si="50"/>
        <v>766.496429449146</v>
      </c>
      <c r="K103" s="16">
        <f>_XLL.ENTROPY('data T-s chart'!$A$1,"PT",L$6,L103)</f>
        <v>6.894839029146701</v>
      </c>
      <c r="L103" s="16">
        <f t="shared" si="48"/>
        <v>757.3945999999993</v>
      </c>
      <c r="M103" s="16">
        <f>_XLL.ENTROPY('data T-s chart'!$A$1,"PT",N$6,N103)</f>
        <v>6.212834354950401</v>
      </c>
      <c r="N103" s="16">
        <f t="shared" si="40"/>
        <v>760.000500000499</v>
      </c>
      <c r="P103" s="16">
        <f>_XLL.ENTROPY('data T-s chart'!$A$1,"Tv",Q103,Q$6)</f>
        <v>8.436537686170816</v>
      </c>
      <c r="Q103" s="16">
        <f t="shared" si="41"/>
        <v>760.000500000499</v>
      </c>
      <c r="R103" s="16">
        <f>_XLL.ENTROPY('data T-s chart'!$A$1,"Tv",S103,S$6)</f>
        <v>6.501541242542661</v>
      </c>
      <c r="S103" s="16">
        <f t="shared" si="42"/>
        <v>760.000500000499</v>
      </c>
      <c r="T103" s="16" t="str">
        <f>_XLL.ENTROPY('data T-s chart'!$A$1,"Tv",U103,U$6)</f>
        <v>Values of independents are not in range</v>
      </c>
      <c r="U103" s="16">
        <f t="shared" si="43"/>
        <v>760.000500000499</v>
      </c>
      <c r="V103" s="16" t="str">
        <f>_XLL.ENTROPY('data T-s chart'!$A$1,"Tv",W103,W$6)</f>
        <v>Values of independents are not in range</v>
      </c>
      <c r="W103" s="16">
        <f t="shared" si="44"/>
        <v>760.000500000499</v>
      </c>
      <c r="Y103" s="16">
        <f>_XLL.ENTROPY('data T-s chart'!$A$1,"Tq",Z103,Z$5)</f>
        <v>4.168864682632665</v>
      </c>
      <c r="Z103" s="16">
        <f t="shared" si="45"/>
        <v>355.2492000004994</v>
      </c>
      <c r="AA103" s="16">
        <f>_XLL.ENTROPY('data T-s chart'!$A$1,"Tq",AB103,AB$5)</f>
        <v>4.49049598862387</v>
      </c>
      <c r="AB103" s="16">
        <f t="shared" si="46"/>
        <v>355.2492000004994</v>
      </c>
      <c r="AC103" s="16">
        <f>_XLL.ENTROPY('data T-s chart'!$A$1,"Tq",AD103,AD$5)</f>
        <v>4.812127294615075</v>
      </c>
      <c r="AD103" s="16">
        <f t="shared" si="47"/>
        <v>355.2492000004994</v>
      </c>
    </row>
    <row r="104" spans="1:30" ht="12.75">
      <c r="A104" s="16">
        <f>_XLL.ENTROPY('data T-s chart'!$A$1,"Tq",B104,0)</f>
        <v>3.9016852492188954</v>
      </c>
      <c r="B104" s="16">
        <f t="shared" si="38"/>
        <v>359.0385600003994</v>
      </c>
      <c r="D104" s="16">
        <f>_XLL.ENTROPY('data T-s chart'!$A$1,"Tq",E104,1)</f>
        <v>5.070241510182653</v>
      </c>
      <c r="E104" s="16">
        <f t="shared" si="39"/>
        <v>359.0385600003994</v>
      </c>
      <c r="G104" s="16">
        <f>_XLL.ENTROPY('data T-s chart'!$A$1,"PT",H$6,H104)</f>
        <v>9.490764561954494</v>
      </c>
      <c r="H104" s="16">
        <f t="shared" si="49"/>
        <v>764.9802959305658</v>
      </c>
      <c r="I104" s="16">
        <f>_XLL.ENTROPY('data T-s chart'!$A$1,"PT",J$6,J104)</f>
        <v>7.685444449385897</v>
      </c>
      <c r="J104" s="16">
        <f t="shared" si="50"/>
        <v>773.1971435593169</v>
      </c>
      <c r="K104" s="16">
        <f>_XLL.ENTROPY('data T-s chart'!$A$1,"PT",L$6,L104)</f>
        <v>6.916404743234736</v>
      </c>
      <c r="L104" s="16">
        <f t="shared" si="48"/>
        <v>765.9156799999993</v>
      </c>
      <c r="M104" s="16">
        <f>_XLL.ENTROPY('data T-s chart'!$A$1,"PT",N$6,N104)</f>
        <v>6.238433681607067</v>
      </c>
      <c r="N104" s="16">
        <f t="shared" si="40"/>
        <v>768.0004000003989</v>
      </c>
      <c r="P104" s="16">
        <f>_XLL.ENTROPY('data T-s chart'!$A$1,"Tv",Q104,Q$6)</f>
        <v>8.450884511506882</v>
      </c>
      <c r="Q104" s="16">
        <f t="shared" si="41"/>
        <v>768.0004000003989</v>
      </c>
      <c r="R104" s="16">
        <f>_XLL.ENTROPY('data T-s chart'!$A$1,"Tv",S104,S$6)</f>
        <v>6.517422669269895</v>
      </c>
      <c r="S104" s="16">
        <f t="shared" si="42"/>
        <v>768.0004000003989</v>
      </c>
      <c r="T104" s="16" t="str">
        <f>_XLL.ENTROPY('data T-s chart'!$A$1,"Tv",U104,U$6)</f>
        <v>Values of independents are not in range</v>
      </c>
      <c r="U104" s="16">
        <f t="shared" si="43"/>
        <v>768.0004000003989</v>
      </c>
      <c r="V104" s="16" t="str">
        <f>_XLL.ENTROPY('data T-s chart'!$A$1,"Tv",W104,W$6)</f>
        <v>Values of independents are not in range</v>
      </c>
      <c r="W104" s="16">
        <f t="shared" si="44"/>
        <v>768.0004000003989</v>
      </c>
      <c r="Y104" s="16">
        <f>_XLL.ENTROPY('data T-s chart'!$A$1,"Tq",Z104,Z$5)</f>
        <v>4.193483477997971</v>
      </c>
      <c r="Z104" s="16">
        <f t="shared" si="45"/>
        <v>358.9885600003994</v>
      </c>
      <c r="AA104" s="16">
        <f>_XLL.ENTROPY('data T-s chart'!$A$1,"Tq",AB104,AB$5)</f>
        <v>4.486033897344428</v>
      </c>
      <c r="AB104" s="16">
        <f t="shared" si="46"/>
        <v>358.9885600003994</v>
      </c>
      <c r="AC104" s="16">
        <f>_XLL.ENTROPY('data T-s chart'!$A$1,"Tq",AD104,AD$5)</f>
        <v>4.7785843166908855</v>
      </c>
      <c r="AD104" s="16">
        <f t="shared" si="47"/>
        <v>358.9885600003994</v>
      </c>
    </row>
    <row r="105" spans="1:30" ht="12.75">
      <c r="A105" s="16">
        <f>_XLL.ENTROPY('data T-s chart'!$A$1,"Tq",B105,0)</f>
        <v>3.9613509124000763</v>
      </c>
      <c r="B105" s="16">
        <f t="shared" si="38"/>
        <v>362.7779200002994</v>
      </c>
      <c r="D105" s="16">
        <f>_XLL.ENTROPY('data T-s chart'!$A$1,"Tq",E105,1)</f>
        <v>4.997927058656501</v>
      </c>
      <c r="E105" s="16">
        <f t="shared" si="39"/>
        <v>362.7779200002994</v>
      </c>
      <c r="G105" s="16">
        <f>_XLL.ENTROPY('data T-s chart'!$A$1,"PT",H$6,H105)</f>
        <v>9.510263629329263</v>
      </c>
      <c r="H105" s="16">
        <f t="shared" si="49"/>
        <v>773.7352219479241</v>
      </c>
      <c r="I105" s="16">
        <f>_XLL.ENTROPY('data T-s chart'!$A$1,"PT",J$6,J105)</f>
        <v>7.700676635495786</v>
      </c>
      <c r="J105" s="16">
        <f t="shared" si="50"/>
        <v>779.8978576694878</v>
      </c>
      <c r="K105" s="16">
        <f>_XLL.ENTROPY('data T-s chart'!$A$1,"PT",L$6,L105)</f>
        <v>6.937760264937004</v>
      </c>
      <c r="L105" s="16">
        <f t="shared" si="48"/>
        <v>774.4367599999993</v>
      </c>
      <c r="M105" s="16">
        <f>_XLL.ENTROPY('data T-s chart'!$A$1,"PT",N$6,N105)</f>
        <v>6.263613507609888</v>
      </c>
      <c r="N105" s="16">
        <f t="shared" si="40"/>
        <v>776.0003000002989</v>
      </c>
      <c r="P105" s="16">
        <f>_XLL.ENTROPY('data T-s chart'!$A$1,"Tv",Q105,Q$6)</f>
        <v>8.465163774109621</v>
      </c>
      <c r="Q105" s="16">
        <f t="shared" si="41"/>
        <v>776.0003000002989</v>
      </c>
      <c r="R105" s="16">
        <f>_XLL.ENTROPY('data T-s chart'!$A$1,"Tv",S105,S$6)</f>
        <v>6.53318997450299</v>
      </c>
      <c r="S105" s="16">
        <f t="shared" si="42"/>
        <v>776.0003000002989</v>
      </c>
      <c r="T105" s="16" t="str">
        <f>_XLL.ENTROPY('data T-s chart'!$A$1,"Tv",U105,U$6)</f>
        <v>Values of independents are not in range</v>
      </c>
      <c r="U105" s="16">
        <f t="shared" si="43"/>
        <v>776.0003000002989</v>
      </c>
      <c r="V105" s="16" t="str">
        <f>_XLL.ENTROPY('data T-s chart'!$A$1,"Tv",W105,W$6)</f>
        <v>Values of independents are not in range</v>
      </c>
      <c r="W105" s="16">
        <f t="shared" si="44"/>
        <v>776.0003000002989</v>
      </c>
      <c r="Y105" s="16">
        <f>_XLL.ENTROPY('data T-s chart'!$A$1,"Tq",Z105,Z$5)</f>
        <v>4.220120088057449</v>
      </c>
      <c r="Z105" s="16">
        <f t="shared" si="45"/>
        <v>362.7279200002994</v>
      </c>
      <c r="AA105" s="16">
        <f>_XLL.ENTROPY('data T-s chart'!$A$1,"Tq",AB105,AB$5)</f>
        <v>4.479739371092327</v>
      </c>
      <c r="AB105" s="16">
        <f t="shared" si="46"/>
        <v>362.7279200002994</v>
      </c>
      <c r="AC105" s="16">
        <f>_XLL.ENTROPY('data T-s chart'!$A$1,"Tq",AD105,AD$5)</f>
        <v>4.739358654127204</v>
      </c>
      <c r="AD105" s="16">
        <f t="shared" si="47"/>
        <v>362.7279200002994</v>
      </c>
    </row>
    <row r="106" spans="1:30" ht="12.75">
      <c r="A106" s="16">
        <f>_XLL.ENTROPY('data T-s chart'!$A$1,"Tq",B106,0)</f>
        <v>4.030876064071614</v>
      </c>
      <c r="B106" s="16">
        <f t="shared" si="38"/>
        <v>366.5172800001994</v>
      </c>
      <c r="D106" s="16">
        <f>_XLL.ENTROPY('data T-s chart'!$A$1,"Tq",E106,1)</f>
        <v>4.9099532911370165</v>
      </c>
      <c r="E106" s="16">
        <f t="shared" si="39"/>
        <v>366.5172800001994</v>
      </c>
      <c r="G106" s="16">
        <f>_XLL.ENTROPY('data T-s chart'!$A$1,"PT",H$6,H106)</f>
        <v>9.529651453107173</v>
      </c>
      <c r="H106" s="16">
        <f t="shared" si="49"/>
        <v>782.4901479652823</v>
      </c>
      <c r="I106" s="16">
        <f>_XLL.ENTROPY('data T-s chart'!$A$1,"PT",J$6,J106)</f>
        <v>7.715832908803182</v>
      </c>
      <c r="J106" s="16">
        <f t="shared" si="50"/>
        <v>786.5985717796588</v>
      </c>
      <c r="K106" s="16">
        <f>_XLL.ENTROPY('data T-s chart'!$A$1,"PT",L$6,L106)</f>
        <v>6.958912845285406</v>
      </c>
      <c r="L106" s="16">
        <f t="shared" si="48"/>
        <v>782.9578399999992</v>
      </c>
      <c r="M106" s="16">
        <f>_XLL.ENTROPY('data T-s chart'!$A$1,"PT",N$6,N106)</f>
        <v>6.288395902433571</v>
      </c>
      <c r="N106" s="16">
        <f t="shared" si="40"/>
        <v>784.0002000001989</v>
      </c>
      <c r="P106" s="16">
        <f>_XLL.ENTROPY('data T-s chart'!$A$1,"Tv",Q106,Q$6)</f>
        <v>8.47937651175255</v>
      </c>
      <c r="Q106" s="16">
        <f t="shared" si="41"/>
        <v>784.0002000001989</v>
      </c>
      <c r="R106" s="16">
        <f>_XLL.ENTROPY('data T-s chart'!$A$1,"Tv",S106,S$6)</f>
        <v>6.5488466137139385</v>
      </c>
      <c r="S106" s="16">
        <f t="shared" si="42"/>
        <v>784.0002000001989</v>
      </c>
      <c r="T106" s="16" t="str">
        <f>_XLL.ENTROPY('data T-s chart'!$A$1,"Tv",U106,U$6)</f>
        <v>Values of independents are not in range</v>
      </c>
      <c r="U106" s="16">
        <f t="shared" si="43"/>
        <v>784.0002000001989</v>
      </c>
      <c r="V106" s="16" t="str">
        <f>_XLL.ENTROPY('data T-s chart'!$A$1,"Tv",W106,W$6)</f>
        <v>Values of independents are not in range</v>
      </c>
      <c r="W106" s="16">
        <f t="shared" si="44"/>
        <v>784.0002000001989</v>
      </c>
      <c r="Y106" s="16">
        <f>_XLL.ENTROPY('data T-s chart'!$A$1,"Tq",Z106,Z$5)</f>
        <v>4.250207043203996</v>
      </c>
      <c r="Z106" s="16">
        <f t="shared" si="45"/>
        <v>366.46728000019937</v>
      </c>
      <c r="AA106" s="16">
        <f>_XLL.ENTROPY('data T-s chart'!$A$1,"Tq",AB106,AB$5)</f>
        <v>4.470565416205639</v>
      </c>
      <c r="AB106" s="16">
        <f t="shared" si="46"/>
        <v>366.46728000019937</v>
      </c>
      <c r="AC106" s="16">
        <f>_XLL.ENTROPY('data T-s chart'!$A$1,"Tq",AD106,AD$5)</f>
        <v>4.690923789207284</v>
      </c>
      <c r="AD106" s="16">
        <f t="shared" si="47"/>
        <v>366.46728000019937</v>
      </c>
    </row>
    <row r="107" spans="1:30" ht="12.75">
      <c r="A107" s="16">
        <f>_XLL.ENTROPY('data T-s chart'!$A$1,"Tq",B107,0)</f>
        <v>4.121666231317314</v>
      </c>
      <c r="B107" s="16">
        <f t="shared" si="38"/>
        <v>370.25664000009937</v>
      </c>
      <c r="D107" s="16">
        <f>_XLL.ENTROPY('data T-s chart'!$A$1,"Tq",E107,1)</f>
        <v>4.789445173150585</v>
      </c>
      <c r="E107" s="16">
        <f t="shared" si="39"/>
        <v>370.25664000009937</v>
      </c>
      <c r="G107" s="16">
        <f>_XLL.ENTROPY('data T-s chart'!$A$1,"PT",H$6,H107)</f>
        <v>9.548929876410327</v>
      </c>
      <c r="H107" s="16">
        <f t="shared" si="49"/>
        <v>791.2450739826405</v>
      </c>
      <c r="I107" s="16">
        <f>_XLL.ENTROPY('data T-s chart'!$A$1,"PT",J$6,J107)</f>
        <v>7.730914501114235</v>
      </c>
      <c r="J107" s="16">
        <f t="shared" si="50"/>
        <v>793.2992858898297</v>
      </c>
      <c r="K107" s="16">
        <f>_XLL.ENTROPY('data T-s chart'!$A$1,"PT",L$6,L107)</f>
        <v>6.9798693455617675</v>
      </c>
      <c r="L107" s="16">
        <f t="shared" si="48"/>
        <v>791.4789199999992</v>
      </c>
      <c r="M107" s="16">
        <f>_XLL.ENTROPY('data T-s chart'!$A$1,"PT",N$6,N107)</f>
        <v>6.312801337222655</v>
      </c>
      <c r="N107" s="16">
        <f t="shared" si="40"/>
        <v>792.0001000000989</v>
      </c>
      <c r="P107" s="16">
        <f>_XLL.ENTROPY('data T-s chart'!$A$1,"Tv",Q107,Q$6)</f>
        <v>8.493523743080301</v>
      </c>
      <c r="Q107" s="16">
        <f t="shared" si="41"/>
        <v>792.0001000000989</v>
      </c>
      <c r="R107" s="16">
        <f>_XLL.ENTROPY('data T-s chart'!$A$1,"Tv",S107,S$6)</f>
        <v>6.564396022026496</v>
      </c>
      <c r="S107" s="16">
        <f t="shared" si="42"/>
        <v>792.0001000000989</v>
      </c>
      <c r="T107" s="16" t="str">
        <f>_XLL.ENTROPY('data T-s chart'!$A$1,"Tv",U107,U$6)</f>
        <v>Values of independents are not in range</v>
      </c>
      <c r="U107" s="16">
        <f t="shared" si="43"/>
        <v>792.0001000000989</v>
      </c>
      <c r="V107" s="16" t="str">
        <f>_XLL.ENTROPY('data T-s chart'!$A$1,"Tv",W107,W$6)</f>
        <v>Values of independents are not in range</v>
      </c>
      <c r="W107" s="16">
        <f t="shared" si="44"/>
        <v>792.0001000000989</v>
      </c>
      <c r="Y107" s="16">
        <f>_XLL.ENTROPY('data T-s chart'!$A$1,"Tq",Z107,Z$5)</f>
        <v>4.28800031496988</v>
      </c>
      <c r="Z107" s="16">
        <f t="shared" si="45"/>
        <v>370.20664000009936</v>
      </c>
      <c r="AA107" s="16">
        <f>_XLL.ENTROPY('data T-s chart'!$A$1,"Tq",AB107,AB$5)</f>
        <v>4.455820472079354</v>
      </c>
      <c r="AB107" s="16">
        <f t="shared" si="46"/>
        <v>370.20664000009936</v>
      </c>
      <c r="AC107" s="16">
        <f>_XLL.ENTROPY('data T-s chart'!$A$1,"Tq",AD107,AD$5)</f>
        <v>4.623640629188829</v>
      </c>
      <c r="AD107" s="16">
        <f t="shared" si="47"/>
        <v>370.20664000009936</v>
      </c>
    </row>
    <row r="108" spans="1:30" ht="12.75">
      <c r="A108" s="16">
        <f>_XLL.ENTROPY('data T-s chart'!$A$1,"Tq",B108,0)</f>
        <v>4.388257359700806</v>
      </c>
      <c r="B108" s="16">
        <f>'data T-s chart'!$E$3-0.01</f>
        <v>373.93600000000004</v>
      </c>
      <c r="D108" s="16">
        <f>_XLL.ENTROPY('data T-s chart'!$A$1,"Tq",E108,1)</f>
        <v>4.412600404171936</v>
      </c>
      <c r="E108" s="16">
        <f>'data T-s chart'!$E$3-0.01</f>
        <v>373.93600000000004</v>
      </c>
      <c r="G108" s="16">
        <f>_XLL.ENTROPY('data T-s chart'!$A$1,"PT",H$6,H108)</f>
        <v>9.568100704731721</v>
      </c>
      <c r="H108" s="16">
        <f>'data T-s chart'!$J$3</f>
        <v>800</v>
      </c>
      <c r="I108" s="16">
        <f>_XLL.ENTROPY('data T-s chart'!$A$1,"PT",J$6,J108)</f>
        <v>7.745922614261475</v>
      </c>
      <c r="J108" s="16">
        <f>'data T-s chart'!$J$3</f>
        <v>800</v>
      </c>
      <c r="K108" s="16">
        <f>_XLL.ENTROPY('data T-s chart'!$A$1,"PT",L$6,L108)</f>
        <v>7.000636269197084</v>
      </c>
      <c r="L108" s="16">
        <f>'data T-s chart'!$J$3</f>
        <v>800</v>
      </c>
      <c r="M108" s="16">
        <f>_XLL.ENTROPY('data T-s chart'!$A$1,"PT",N$6,N108)</f>
        <v>6.3368488412146595</v>
      </c>
      <c r="N108" s="16">
        <f>'data T-s chart'!$J$3</f>
        <v>800</v>
      </c>
      <c r="P108" s="16">
        <f>_XLL.ENTROPY('data T-s chart'!$A$1,"Tv",Q108,Q$6)</f>
        <v>8.507606469192126</v>
      </c>
      <c r="Q108" s="16">
        <f>'data T-s chart'!$J$3</f>
        <v>800</v>
      </c>
      <c r="R108" s="16">
        <f>_XLL.ENTROPY('data T-s chart'!$A$1,"Tv",S108,S$6)</f>
        <v>6.579841626742536</v>
      </c>
      <c r="S108" s="16">
        <f>'data T-s chart'!$J$3</f>
        <v>800</v>
      </c>
      <c r="T108" s="16" t="str">
        <f>_XLL.ENTROPY('data T-s chart'!$A$1,"Tv",U108,U$6)</f>
        <v>Values of independents are not in range</v>
      </c>
      <c r="U108" s="16">
        <f>'data T-s chart'!$J$3</f>
        <v>800</v>
      </c>
      <c r="V108" s="16" t="str">
        <f>_XLL.ENTROPY('data T-s chart'!$A$1,"Tv",W108,W$6)</f>
        <v>Values of independents are not in range</v>
      </c>
      <c r="W108" s="16">
        <f>'data T-s chart'!$J$3</f>
        <v>800</v>
      </c>
      <c r="Y108" s="16">
        <f>_XLL.ENTROPY('data T-s chart'!$A$1,"Tq",Z108,Z$5)</f>
        <v>4.412021482236349</v>
      </c>
      <c r="Z108" s="16">
        <f>'data T-s chart'!$E$3</f>
        <v>373.946</v>
      </c>
      <c r="AA108" s="16">
        <f>_XLL.ENTROPY('data T-s chart'!$A$1,"Tq",AB108,AB$5)</f>
        <v>4.412021482236349</v>
      </c>
      <c r="AB108" s="16">
        <f>'data T-s chart'!$E$3</f>
        <v>373.946</v>
      </c>
      <c r="AC108" s="16">
        <f>_XLL.ENTROPY('data T-s chart'!$A$1,"Tq",AD108,AD$5)</f>
        <v>4.412021482236349</v>
      </c>
      <c r="AD108" s="16">
        <f>'data T-s chart'!$E$3</f>
        <v>373.946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Colonna di Paliano</dc:creator>
  <cp:keywords/>
  <dc:description/>
  <cp:lastModifiedBy>Piero Colonna di Paliano</cp:lastModifiedBy>
  <cp:lastPrinted>2010-12-11T16:26:54Z</cp:lastPrinted>
  <dcterms:created xsi:type="dcterms:W3CDTF">2010-11-09T08:51:41Z</dcterms:created>
  <dcterms:modified xsi:type="dcterms:W3CDTF">2010-12-11T18:46:09Z</dcterms:modified>
  <cp:category/>
  <cp:version/>
  <cp:contentType/>
  <cp:contentStatus/>
</cp:coreProperties>
</file>